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licies, Procedures, Information, Standards\Design Services\RFPs\PWP24-012 Traffic Signal Timing Card\RFP PWP24-012\10 - RFP\"/>
    </mc:Choice>
  </mc:AlternateContent>
  <xr:revisionPtr revIDLastSave="0" documentId="13_ncr:1_{9C316430-FDA0-4154-914C-7A56151B8E6E}" xr6:coauthVersionLast="47" xr6:coauthVersionMax="47" xr10:uidLastSave="{00000000-0000-0000-0000-000000000000}"/>
  <bookViews>
    <workbookView xWindow="-22272" yWindow="768" windowWidth="18876" windowHeight="10932" tabRatio="778" xr2:uid="{00000000-000D-0000-FFFF-FFFF00000000}"/>
  </bookViews>
  <sheets>
    <sheet name="Ø Olap (10 Phase)" sheetId="17" r:id="rId1"/>
    <sheet name=" Coord Page" sheetId="18" r:id="rId2"/>
    <sheet name="SG_Coord" sheetId="31" r:id="rId3"/>
    <sheet name="TSP" sheetId="30" r:id="rId4"/>
    <sheet name="Ovlps, Preempts" sheetId="19" r:id="rId5"/>
    <sheet name="Channels 1.8" sheetId="20" r:id="rId6"/>
    <sheet name="Detectors" sheetId="21" r:id="rId7"/>
    <sheet name=" Alt Tables" sheetId="22" r:id="rId8"/>
    <sheet name="Annual Schedule " sheetId="32" r:id="rId9"/>
    <sheet name="Misc" sheetId="24" r:id="rId10"/>
    <sheet name="C-1 Pins" sheetId="25" r:id="rId11"/>
    <sheet name="I &amp; J Files" sheetId="27" r:id="rId12"/>
    <sheet name="Updates" sheetId="26" r:id="rId13"/>
    <sheet name="Data" sheetId="28" r:id="rId14"/>
    <sheet name="Sheet1" sheetId="29" r:id="rId15"/>
  </sheets>
  <definedNames>
    <definedName name="Actions" localSheetId="8">OFFSET(#REF!, 22, 0, 12, 101)</definedName>
    <definedName name="Actions" localSheetId="2">OFFSET(#REF!, 22, 0, 12, 101)</definedName>
    <definedName name="Actions">OFFSET(#REF!, 22, 0, 12, 101)</definedName>
    <definedName name="Actions_Table_Plus" localSheetId="8">OFFSET(#REF!, 37, 0, 8, 101)</definedName>
    <definedName name="Actions_Table_Plus" localSheetId="2">OFFSET(#REF!, 37, 0, 8, 101)</definedName>
    <definedName name="Actions_Table_Plus">OFFSET(#REF!, 37, 0, 8, 101)</definedName>
    <definedName name="Adv_Warning" localSheetId="8">OFFSET(#REF!, 48, 0, 2, 9)</definedName>
    <definedName name="Adv_Warning" localSheetId="2">OFFSET(#REF!, 48, 0, 2, 9)</definedName>
    <definedName name="Adv_Warning">OFFSET(#REF!, 48, 0, 2, 9)</definedName>
    <definedName name="Auto_Flash" localSheetId="8">OFFSET(#REF!, 53, 0, 28, 2)</definedName>
    <definedName name="Auto_Flash" localSheetId="2">OFFSET(#REF!, 53, 0, 28, 2)</definedName>
    <definedName name="Auto_Flash">OFFSET(#REF!, 53, 0, 28, 2)</definedName>
    <definedName name="Channel_Parms" localSheetId="8">OFFSET(#REF!, 84, 0, 6, 2)</definedName>
    <definedName name="Channel_Parms" localSheetId="2">OFFSET(#REF!, 84, 0, 6, 2)</definedName>
    <definedName name="Channel_Parms">OFFSET(#REF!, 84, 0, 6, 2)</definedName>
    <definedName name="Channels_Assignments" localSheetId="8">OFFSET(#REF!, 93, 0, 8, 25)</definedName>
    <definedName name="Channels_Assignments" localSheetId="2">OFFSET(#REF!, 93, 0, 8, 25)</definedName>
    <definedName name="Channels_Assignments">OFFSET(#REF!, 93, 0, 8, 25)</definedName>
    <definedName name="Channels_Assignments_Plus" localSheetId="8">OFFSET(#REF!, 1243, 0, 4, 25)</definedName>
    <definedName name="Channels_Assignments_Plus" localSheetId="2">OFFSET(#REF!, 1243, 0, 4, 25)</definedName>
    <definedName name="Channels_Assignments_Plus">OFFSET(#REF!, 1243, 0, 4, 25)</definedName>
    <definedName name="CIC_Parms" localSheetId="8">OFFSET(#REF!, 104, 0, 3, 2)</definedName>
    <definedName name="CIC_Parms" localSheetId="2">OFFSET(#REF!, 104, 0, 3, 2)</definedName>
    <definedName name="CIC_Parms">OFFSET(#REF!, 104, 0, 3, 2)</definedName>
    <definedName name="CIC_Plans" localSheetId="8">OFFSET(#REF!, 110, 0, 10, 5)</definedName>
    <definedName name="CIC_Plans" localSheetId="2">OFFSET(#REF!, 110, 0, 10, 5)</definedName>
    <definedName name="CIC_Plans">OFFSET(#REF!, 110, 0, 10, 5)</definedName>
    <definedName name="Comm_IP_Parms" localSheetId="8">OFFSET(#REF!, 123, 0, 21, 2)</definedName>
    <definedName name="Comm_IP_Parms" localSheetId="2">OFFSET(#REF!, 123, 0, 21, 2)</definedName>
    <definedName name="Comm_IP_Parms">OFFSET(#REF!, 123, 0, 21, 2)</definedName>
    <definedName name="Coord" localSheetId="8">OFFSET(#REF!, 147, 0, 4, 2)</definedName>
    <definedName name="Coord" localSheetId="2">OFFSET(#REF!, 147, 0, 4, 2)</definedName>
    <definedName name="Coord">OFFSET(#REF!, 147, 0, 4, 2)</definedName>
    <definedName name="Coord_External_IO" localSheetId="8">OFFSET(#REF!, 154, 0, 2, 33)</definedName>
    <definedName name="Coord_External_IO" localSheetId="2">OFFSET(#REF!, 154, 0, 2, 33)</definedName>
    <definedName name="Coord_External_IO">OFFSET(#REF!, 154, 0, 2, 33)</definedName>
    <definedName name="Coord_Parameters_Expanded" localSheetId="8">OFFSET(#REF!, 1280, 0, 1, 2)</definedName>
    <definedName name="Coord_Parameters_Expanded" localSheetId="2">OFFSET(#REF!, 1280, 0, 1, 2)</definedName>
    <definedName name="Coord_Parameters_Expanded">OFFSET(#REF!, 1280, 0, 1, 2)</definedName>
    <definedName name="Coord_Plus" localSheetId="8">OFFSET(#REF!, 159, 0, 13, 2)</definedName>
    <definedName name="Coord_Plus" localSheetId="2">OFFSET(#REF!, 159, 0, 13, 2)</definedName>
    <definedName name="Coord_Plus">OFFSET(#REF!, 159, 0, 13, 2)</definedName>
    <definedName name="Current_Monitor_Entries" localSheetId="8">OFFSET(#REF!, 175, 0, 12, 2)</definedName>
    <definedName name="Current_Monitor_Entries" localSheetId="2">OFFSET(#REF!, 175, 0, 12, 2)</definedName>
    <definedName name="Current_Monitor_Entries">OFFSET(#REF!, 175, 0, 12, 2)</definedName>
    <definedName name="Day_Plan_1" localSheetId="8">OFFSET(#REF!, 190, 0, 3, 17)</definedName>
    <definedName name="Day_Plan_1" localSheetId="2">OFFSET(#REF!, 190, 0, 3, 17)</definedName>
    <definedName name="Day_Plan_1">OFFSET(#REF!, 190, 0, 3, 17)</definedName>
    <definedName name="Day_Plan_10" localSheetId="8">OFFSET(#REF!, 244, 0, 3, 17)</definedName>
    <definedName name="Day_Plan_10" localSheetId="2">OFFSET(#REF!, 244, 0, 3, 17)</definedName>
    <definedName name="Day_Plan_10">OFFSET(#REF!, 244, 0, 3, 17)</definedName>
    <definedName name="Day_Plan_11" localSheetId="8">OFFSET(#REF!, 250, 0, 3, 17)</definedName>
    <definedName name="Day_Plan_11" localSheetId="2">OFFSET(#REF!, 250, 0, 3, 17)</definedName>
    <definedName name="Day_Plan_11">OFFSET(#REF!, 250, 0, 3, 17)</definedName>
    <definedName name="Day_Plan_12" localSheetId="8">OFFSET(#REF!, 256, 0, 3, 17)</definedName>
    <definedName name="Day_Plan_12" localSheetId="2">OFFSET(#REF!, 256, 0, 3, 17)</definedName>
    <definedName name="Day_Plan_12">OFFSET(#REF!, 256, 0, 3, 17)</definedName>
    <definedName name="Day_Plan_13" localSheetId="8">OFFSET(#REF!, 262, 0, 3, 17)</definedName>
    <definedName name="Day_Plan_13" localSheetId="2">OFFSET(#REF!, 262, 0, 3, 17)</definedName>
    <definedName name="Day_Plan_13">OFFSET(#REF!, 262, 0, 3, 17)</definedName>
    <definedName name="Day_Plan_14" localSheetId="8">OFFSET(#REF!, 268, 0, 3, 17)</definedName>
    <definedName name="Day_Plan_14" localSheetId="2">OFFSET(#REF!, 268, 0, 3, 17)</definedName>
    <definedName name="Day_Plan_14">OFFSET(#REF!, 268, 0, 3, 17)</definedName>
    <definedName name="Day_Plan_15" localSheetId="8">OFFSET(#REF!, 274, 0, 3, 17)</definedName>
    <definedName name="Day_Plan_15" localSheetId="2">OFFSET(#REF!, 274, 0, 3, 17)</definedName>
    <definedName name="Day_Plan_15">OFFSET(#REF!, 274, 0, 3, 17)</definedName>
    <definedName name="Day_Plan_16" localSheetId="8">OFFSET(#REF!, 280, 0, 3, 17)</definedName>
    <definedName name="Day_Plan_16" localSheetId="2">OFFSET(#REF!, 280, 0, 3, 17)</definedName>
    <definedName name="Day_Plan_16">OFFSET(#REF!, 280, 0, 3, 17)</definedName>
    <definedName name="Day_Plan_17" localSheetId="8">OFFSET(#REF!, 286, 0, 3, 17)</definedName>
    <definedName name="Day_Plan_17" localSheetId="2">OFFSET(#REF!, 286, 0, 3, 17)</definedName>
    <definedName name="Day_Plan_17">OFFSET(#REF!, 286, 0, 3, 17)</definedName>
    <definedName name="Day_Plan_18" localSheetId="8">OFFSET(#REF!, 292, 0, 3, 17)</definedName>
    <definedName name="Day_Plan_18" localSheetId="2">OFFSET(#REF!, 292, 0, 3, 17)</definedName>
    <definedName name="Day_Plan_18">OFFSET(#REF!, 292, 0, 3, 17)</definedName>
    <definedName name="Day_Plan_19" localSheetId="8">OFFSET(#REF!, 298, 0, 3, 17)</definedName>
    <definedName name="Day_Plan_19" localSheetId="2">OFFSET(#REF!, 298, 0, 3, 17)</definedName>
    <definedName name="Day_Plan_19">OFFSET(#REF!, 298, 0, 3, 17)</definedName>
    <definedName name="Day_Plan_2" localSheetId="8">OFFSET(#REF!, 196, 0, 3, 17)</definedName>
    <definedName name="Day_Plan_2" localSheetId="2">OFFSET(#REF!, 196, 0, 3, 17)</definedName>
    <definedName name="Day_Plan_2">OFFSET(#REF!, 196, 0, 3, 17)</definedName>
    <definedName name="Day_Plan_20" localSheetId="8">OFFSET(#REF!, 304, 0, 3, 17)</definedName>
    <definedName name="Day_Plan_20" localSheetId="2">OFFSET(#REF!, 304, 0, 3, 17)</definedName>
    <definedName name="Day_Plan_20">OFFSET(#REF!, 304, 0, 3, 17)</definedName>
    <definedName name="Day_Plan_21" localSheetId="8">OFFSET(#REF!, 310, 0, 3, 17)</definedName>
    <definedName name="Day_Plan_21" localSheetId="2">OFFSET(#REF!, 310, 0, 3, 17)</definedName>
    <definedName name="Day_Plan_21">OFFSET(#REF!, 310, 0, 3, 17)</definedName>
    <definedName name="Day_Plan_22" localSheetId="8">OFFSET(#REF!, 316, 0, 3, 17)</definedName>
    <definedName name="Day_Plan_22" localSheetId="2">OFFSET(#REF!, 316, 0, 3, 17)</definedName>
    <definedName name="Day_Plan_22">OFFSET(#REF!, 316, 0, 3, 17)</definedName>
    <definedName name="Day_Plan_23" localSheetId="8">OFFSET(#REF!, 322, 0, 3, 17)</definedName>
    <definedName name="Day_Plan_23" localSheetId="2">OFFSET(#REF!, 322, 0, 3, 17)</definedName>
    <definedName name="Day_Plan_23">OFFSET(#REF!, 322, 0, 3, 17)</definedName>
    <definedName name="Day_Plan_24" localSheetId="8">OFFSET(#REF!, 328, 0, 3, 17)</definedName>
    <definedName name="Day_Plan_24" localSheetId="2">OFFSET(#REF!, 328, 0, 3, 17)</definedName>
    <definedName name="Day_Plan_24">OFFSET(#REF!, 328, 0, 3, 17)</definedName>
    <definedName name="Day_Plan_25" localSheetId="8">OFFSET(#REF!, 334, 0, 3, 17)</definedName>
    <definedName name="Day_Plan_25" localSheetId="2">OFFSET(#REF!, 334, 0, 3, 17)</definedName>
    <definedName name="Day_Plan_25">OFFSET(#REF!, 334, 0, 3, 17)</definedName>
    <definedName name="Day_Plan_26" localSheetId="8">OFFSET(#REF!, 340, 0, 3, 17)</definedName>
    <definedName name="Day_Plan_26" localSheetId="2">OFFSET(#REF!, 340, 0, 3, 17)</definedName>
    <definedName name="Day_Plan_26">OFFSET(#REF!, 340, 0, 3, 17)</definedName>
    <definedName name="Day_Plan_27" localSheetId="8">OFFSET(#REF!, 346, 0, 3, 17)</definedName>
    <definedName name="Day_Plan_27" localSheetId="2">OFFSET(#REF!, 346, 0, 3, 17)</definedName>
    <definedName name="Day_Plan_27">OFFSET(#REF!, 346, 0, 3, 17)</definedName>
    <definedName name="Day_Plan_28" localSheetId="8">OFFSET(#REF!, 352, 0, 3, 17)</definedName>
    <definedName name="Day_Plan_28" localSheetId="2">OFFSET(#REF!, 352, 0, 3, 17)</definedName>
    <definedName name="Day_Plan_28">OFFSET(#REF!, 352, 0, 3, 17)</definedName>
    <definedName name="Day_Plan_29" localSheetId="8">OFFSET(#REF!, 358, 0, 3, 17)</definedName>
    <definedName name="Day_Plan_29" localSheetId="2">OFFSET(#REF!, 358, 0, 3, 17)</definedName>
    <definedName name="Day_Plan_29">OFFSET(#REF!, 358, 0, 3, 17)</definedName>
    <definedName name="Day_Plan_3" localSheetId="8">OFFSET(#REF!, 202, 0, 3, 17)</definedName>
    <definedName name="Day_Plan_3" localSheetId="2">OFFSET(#REF!, 202, 0, 3, 17)</definedName>
    <definedName name="Day_Plan_3">OFFSET(#REF!, 202, 0, 3, 17)</definedName>
    <definedName name="Day_Plan_30" localSheetId="8">OFFSET(#REF!, 364, 0, 3, 17)</definedName>
    <definedName name="Day_Plan_30" localSheetId="2">OFFSET(#REF!, 364, 0, 3, 17)</definedName>
    <definedName name="Day_Plan_30">OFFSET(#REF!, 364, 0, 3, 17)</definedName>
    <definedName name="Day_Plan_31" localSheetId="8">OFFSET(#REF!, 370, 0, 3, 17)</definedName>
    <definedName name="Day_Plan_31" localSheetId="2">OFFSET(#REF!, 370, 0, 3, 17)</definedName>
    <definedName name="Day_Plan_31">OFFSET(#REF!, 370, 0, 3, 17)</definedName>
    <definedName name="Day_Plan_32" localSheetId="8">OFFSET(#REF!, 376, 0, 3, 17)</definedName>
    <definedName name="Day_Plan_32" localSheetId="2">OFFSET(#REF!, 376, 0, 3, 17)</definedName>
    <definedName name="Day_Plan_32">OFFSET(#REF!, 376, 0, 3, 17)</definedName>
    <definedName name="Day_Plan_4" localSheetId="8">OFFSET(#REF!, 208, 0, 3, 17)</definedName>
    <definedName name="Day_Plan_4" localSheetId="2">OFFSET(#REF!, 208, 0, 3, 17)</definedName>
    <definedName name="Day_Plan_4">OFFSET(#REF!, 208, 0, 3, 17)</definedName>
    <definedName name="Day_Plan_5" localSheetId="8">OFFSET(#REF!, 214, 0, 3, 17)</definedName>
    <definedName name="Day_Plan_5" localSheetId="2">OFFSET(#REF!, 214, 0, 3, 17)</definedName>
    <definedName name="Day_Plan_5">OFFSET(#REF!, 214, 0, 3, 17)</definedName>
    <definedName name="Day_Plan_6" localSheetId="8">OFFSET(#REF!, 220, 0, 3, 17)</definedName>
    <definedName name="Day_Plan_6" localSheetId="2">OFFSET(#REF!, 220, 0, 3, 17)</definedName>
    <definedName name="Day_Plan_6">OFFSET(#REF!, 220, 0, 3, 17)</definedName>
    <definedName name="Day_Plan_7" localSheetId="8">OFFSET(#REF!, 226, 0, 3, 17)</definedName>
    <definedName name="Day_Plan_7" localSheetId="2">OFFSET(#REF!, 226, 0, 3, 17)</definedName>
    <definedName name="Day_Plan_7">OFFSET(#REF!, 226, 0, 3, 17)</definedName>
    <definedName name="Day_Plan_8" localSheetId="8">OFFSET(#REF!, 232, 0, 3, 17)</definedName>
    <definedName name="Day_Plan_8" localSheetId="2">OFFSET(#REF!, 232, 0, 3, 17)</definedName>
    <definedName name="Day_Plan_8">OFFSET(#REF!, 232, 0, 3, 17)</definedName>
    <definedName name="Day_Plan_9" localSheetId="8">OFFSET(#REF!, 238, 0, 3, 17)</definedName>
    <definedName name="Day_Plan_9" localSheetId="2">OFFSET(#REF!, 238, 0, 3, 17)</definedName>
    <definedName name="Day_Plan_9">OFFSET(#REF!, 238, 0, 3, 17)</definedName>
    <definedName name="Day_Plan_Link" localSheetId="8">OFFSET(#REF!, 382, 0, 1, 33)</definedName>
    <definedName name="Day_Plan_Link" localSheetId="2">OFFSET(#REF!, 382, 0, 1, 33)</definedName>
    <definedName name="Day_Plan_Link">OFFSET(#REF!, 382, 0, 1, 33)</definedName>
    <definedName name="Detector_Direction" localSheetId="8">OFFSET(#REF!, 18, 0, 1, 17)</definedName>
    <definedName name="Detector_Direction" localSheetId="2">OFFSET(#REF!, 18, 0, 1, 17)</definedName>
    <definedName name="Detector_Direction">OFFSET(#REF!, 18, 0, 1, 17)</definedName>
    <definedName name="Enable_Alarms" localSheetId="8">OFFSET(#REF!, 386, 0, 1, 129)</definedName>
    <definedName name="Enable_Alarms" localSheetId="2">OFFSET(#REF!, 386, 0, 1, 129)</definedName>
    <definedName name="Enable_Alarms">OFFSET(#REF!, 386, 0, 1, 129)</definedName>
    <definedName name="Enable_Events" localSheetId="8">OFFSET(#REF!, 390, 0, 1, 129)</definedName>
    <definedName name="Enable_Events" localSheetId="2">OFFSET(#REF!, 390, 0, 1, 129)</definedName>
    <definedName name="Enable_Events">OFFSET(#REF!, 390, 0, 1, 129)</definedName>
    <definedName name="Event_Logging" localSheetId="8">OFFSET(#REF!, 394, 0, 6, 2)</definedName>
    <definedName name="Event_Logging" localSheetId="2">OFFSET(#REF!, 394, 0, 6, 2)</definedName>
    <definedName name="Event_Logging">OFFSET(#REF!, 394, 0, 6, 2)</definedName>
    <definedName name="Flashing_Yellow_Arrow" localSheetId="8">OFFSET(#REF!, 403, 0, 4, 2)</definedName>
    <definedName name="Flashing_Yellow_Arrow" localSheetId="2">OFFSET(#REF!, 403, 0, 4, 2)</definedName>
    <definedName name="Flashing_Yellow_Arrow">OFFSET(#REF!, 403, 0, 4, 2)</definedName>
    <definedName name="General" localSheetId="8">OFFSET(#REF!, 2, 0, 9, 2)</definedName>
    <definedName name="General" localSheetId="2">OFFSET(#REF!, 2, 0, 9, 2)</definedName>
    <definedName name="General">OFFSET(#REF!, 2, 0, 9, 2)</definedName>
    <definedName name="General_Comm_Parms" localSheetId="8">OFFSET(#REF!, 410, 0, 4, 2)</definedName>
    <definedName name="General_Comm_Parms" localSheetId="2">OFFSET(#REF!, 410, 0, 4, 2)</definedName>
    <definedName name="General_Comm_Parms">OFFSET(#REF!, 410, 0, 4, 2)</definedName>
    <definedName name="IO_Logic" localSheetId="8">OFFSET(#REF!, 1220, 0, 16, 11)</definedName>
    <definedName name="IO_Logic" localSheetId="2">OFFSET(#REF!, 1220, 0, 16, 11)</definedName>
    <definedName name="IO_Logic">OFFSET(#REF!, 1220, 0, 16, 11)</definedName>
    <definedName name="IP_Parameters" localSheetId="8">OFFSET(#REF!, 1200, 0, 17, 5)</definedName>
    <definedName name="IP_Parameters" localSheetId="2">OFFSET(#REF!, 1200, 0, 17, 5)</definedName>
    <definedName name="IP_Parameters">OFFSET(#REF!, 1200, 0, 17, 5)</definedName>
    <definedName name="MMU_Assignments" localSheetId="8">OFFSET(#REF!, 417, 0, 120, 2)</definedName>
    <definedName name="MMU_Assignments" localSheetId="2">OFFSET(#REF!, 417, 0, 120, 2)</definedName>
    <definedName name="MMU_Assignments">OFFSET(#REF!, 417, 0, 120, 2)</definedName>
    <definedName name="MMU_to_Controller_Mapping" localSheetId="8">OFFSET(#REF!, 540, 0, 1, 17)</definedName>
    <definedName name="MMU_to_Controller_Mapping" localSheetId="2">OFFSET(#REF!, 540, 0, 1, 17)</definedName>
    <definedName name="MMU_to_Controller_Mapping">OFFSET(#REF!, 540, 0, 1, 17)</definedName>
    <definedName name="Overlap_Parameters_Plus" localSheetId="8">OFFSET(#REF!, 1239, 0, 1, 2)</definedName>
    <definedName name="Overlap_Parameters_Plus" localSheetId="2">OFFSET(#REF!, 1239, 0, 1, 2)</definedName>
    <definedName name="Overlap_Parameters_Plus">OFFSET(#REF!, 1239, 0, 1, 2)</definedName>
    <definedName name="Overlap_Parms" localSheetId="8">OFFSET(#REF!, 544, 0, 5, 2)</definedName>
    <definedName name="Overlap_Parms" localSheetId="2">OFFSET(#REF!, 544, 0, 5, 2)</definedName>
    <definedName name="Overlap_Parms">OFFSET(#REF!, 544, 0, 5, 2)</definedName>
    <definedName name="Overlap_Plus" localSheetId="8">OFFSET(#REF!, 575, 0, 27, 17)</definedName>
    <definedName name="Overlap_Plus" localSheetId="2">OFFSET(#REF!, 575, 0, 27, 17)</definedName>
    <definedName name="Overlap_Plus">OFFSET(#REF!, 575, 0, 27, 17)</definedName>
    <definedName name="Overlap_Programming" localSheetId="8">OFFSET(#REF!, 552, 0, 20, 17)</definedName>
    <definedName name="Overlap_Programming" localSheetId="2">OFFSET(#REF!, 552, 0, 20, 17)</definedName>
    <definedName name="Overlap_Programming">OFFSET(#REF!, 552, 0, 20, 17)</definedName>
    <definedName name="Parms" localSheetId="8">OFFSET(#REF!, 605, 0, 2, 2)</definedName>
    <definedName name="Parms" localSheetId="2">OFFSET(#REF!, 605, 0, 2, 2)</definedName>
    <definedName name="Parms">OFFSET(#REF!, 605, 0, 2, 2)</definedName>
    <definedName name="Pattern_Plus" localSheetId="8">OFFSET(#REF!, 610, 0, 32, 49)</definedName>
    <definedName name="Pattern_Plus" localSheetId="2">OFFSET(#REF!, 610, 0, 32, 49)</definedName>
    <definedName name="Pattern_Plus">OFFSET(#REF!, 610, 0, 32, 49)</definedName>
    <definedName name="Patterns" localSheetId="8">OFFSET(#REF!, 645, 0, 4, 49)</definedName>
    <definedName name="Patterns" localSheetId="2">OFFSET(#REF!, 645, 0, 4, 49)</definedName>
    <definedName name="Patterns">OFFSET(#REF!, 645, 0, 4, 49)</definedName>
    <definedName name="Patterns_Expanded" localSheetId="8">OFFSET(#REF!, 1267, 0, 4, 49)</definedName>
    <definedName name="Patterns_Expanded" localSheetId="2">OFFSET(#REF!, 1267, 0, 4, 49)</definedName>
    <definedName name="Patterns_Expanded">OFFSET(#REF!, 1267, 0, 4, 49)</definedName>
    <definedName name="Ped_Dets" localSheetId="8">OFFSET(#REF!, 652, 0, 4, 9)</definedName>
    <definedName name="Ped_Dets" localSheetId="2">OFFSET(#REF!, 652, 0, 4, 9)</definedName>
    <definedName name="Ped_Dets">OFFSET(#REF!, 652, 0, 4, 9)</definedName>
    <definedName name="Ped_Dets_Alt_1" localSheetId="8">OFFSET(#REF!, 659, 0, 5, 9)</definedName>
    <definedName name="Ped_Dets_Alt_1" localSheetId="2">OFFSET(#REF!, 659, 0, 5, 9)</definedName>
    <definedName name="Ped_Dets_Alt_1">OFFSET(#REF!, 659, 0, 5, 9)</definedName>
    <definedName name="Ped_Dets_Alt_2" localSheetId="8">OFFSET(#REF!, 667, 0, 5, 9)</definedName>
    <definedName name="Ped_Dets_Alt_2" localSheetId="2">OFFSET(#REF!, 667, 0, 5, 9)</definedName>
    <definedName name="Ped_Dets_Alt_2">OFFSET(#REF!, 667, 0, 5, 9)</definedName>
    <definedName name="Ped_Dets_Alt_3" localSheetId="8">OFFSET(#REF!, 675, 0, 5, 9)</definedName>
    <definedName name="Ped_Dets_Alt_3" localSheetId="2">OFFSET(#REF!, 675, 0, 5, 9)</definedName>
    <definedName name="Ped_Dets_Alt_3">OFFSET(#REF!, 675, 0, 5, 9)</definedName>
    <definedName name="Phase_Direction" localSheetId="8">OFFSET(#REF!, 14, 0, 1, 17)</definedName>
    <definedName name="Phase_Direction" localSheetId="2">OFFSET(#REF!, 14, 0, 1, 17)</definedName>
    <definedName name="Phase_Direction">OFFSET(#REF!, 14, 0, 1, 17)</definedName>
    <definedName name="Phase_Entries" localSheetId="8">OFFSET(#REF!, 683, 0, 46, 17)</definedName>
    <definedName name="Phase_Entries" localSheetId="2">OFFSET(#REF!, 683, 0, 46, 17)</definedName>
    <definedName name="Phase_Entries">OFFSET(#REF!, 683, 0, 46, 17)</definedName>
    <definedName name="Phase_Entries_Plus" localSheetId="8">OFFSET(#REF!, 732, 0, 40, 17)</definedName>
    <definedName name="Phase_Entries_Plus" localSheetId="2">OFFSET(#REF!, 732, 0, 40, 17)</definedName>
    <definedName name="Phase_Entries_Plus">OFFSET(#REF!, 732, 0, 40, 17)</definedName>
    <definedName name="Phase_Inhibit_Alt_1" localSheetId="8">OFFSET(#REF!, 775, 0, 29, 9)</definedName>
    <definedName name="Phase_Inhibit_Alt_1" localSheetId="2">OFFSET(#REF!, 775, 0, 29, 9)</definedName>
    <definedName name="Phase_Inhibit_Alt_1">OFFSET(#REF!, 775, 0, 29, 9)</definedName>
    <definedName name="Phase_Inhibit_Alt_2" localSheetId="8">OFFSET(#REF!, 807, 0, 29, 9)</definedName>
    <definedName name="Phase_Inhibit_Alt_2" localSheetId="2">OFFSET(#REF!, 807, 0, 29, 9)</definedName>
    <definedName name="Phase_Inhibit_Alt_2">OFFSET(#REF!, 807, 0, 29, 9)</definedName>
    <definedName name="Phase_Options_Alt_1" localSheetId="8">OFFSET(#REF!, 839, 0, 12, 9)</definedName>
    <definedName name="Phase_Options_Alt_1" localSheetId="2">OFFSET(#REF!, 839, 0, 12, 9)</definedName>
    <definedName name="Phase_Options_Alt_1">OFFSET(#REF!, 839, 0, 12, 9)</definedName>
    <definedName name="Phase_Options_Alt_2" localSheetId="8">OFFSET(#REF!, 854, 0, 12, 9)</definedName>
    <definedName name="Phase_Options_Alt_2" localSheetId="2">OFFSET(#REF!, 854, 0, 12, 9)</definedName>
    <definedName name="Phase_Options_Alt_2">OFFSET(#REF!, 854, 0, 12, 9)</definedName>
    <definedName name="Phase_Options_Alt_3" localSheetId="8">OFFSET(#REF!, 869, 0, 12, 9)</definedName>
    <definedName name="Phase_Options_Alt_3" localSheetId="2">OFFSET(#REF!, 869, 0, 12, 9)</definedName>
    <definedName name="Phase_Options_Alt_3">OFFSET(#REF!, 869, 0, 12, 9)</definedName>
    <definedName name="Phase_Options_Alt_4" localSheetId="8">OFFSET(#REF!, 884, 0, 12, 9)</definedName>
    <definedName name="Phase_Options_Alt_4" localSheetId="2">OFFSET(#REF!, 884, 0, 12, 9)</definedName>
    <definedName name="Phase_Options_Alt_4">OFFSET(#REF!, 884, 0, 12, 9)</definedName>
    <definedName name="Phase_Options_Alt_5" localSheetId="8">OFFSET(#REF!, 899, 0, 12, 9)</definedName>
    <definedName name="Phase_Options_Alt_5" localSheetId="2">OFFSET(#REF!, 899, 0, 12, 9)</definedName>
    <definedName name="Phase_Options_Alt_5">OFFSET(#REF!, 899, 0, 12, 9)</definedName>
    <definedName name="Phase_Options_Alt_6" localSheetId="8">OFFSET(#REF!, 914, 0, 12, 9)</definedName>
    <definedName name="Phase_Options_Alt_6" localSheetId="2">OFFSET(#REF!, 914, 0, 12, 9)</definedName>
    <definedName name="Phase_Options_Alt_6">OFFSET(#REF!, 914, 0, 12, 9)</definedName>
    <definedName name="Phase_Options_Alt_7" localSheetId="8">OFFSET(#REF!, 929, 0, 12, 9)</definedName>
    <definedName name="Phase_Options_Alt_7" localSheetId="2">OFFSET(#REF!, 929, 0, 12, 9)</definedName>
    <definedName name="Phase_Options_Alt_7">OFFSET(#REF!, 929, 0, 12, 9)</definedName>
    <definedName name="Phase_Options_Alt_8" localSheetId="8">OFFSET(#REF!, 944, 0, 12, 9)</definedName>
    <definedName name="Phase_Options_Alt_8" localSheetId="2">OFFSET(#REF!, 944, 0, 12, 9)</definedName>
    <definedName name="Phase_Options_Alt_8">OFFSET(#REF!, 944, 0, 12, 9)</definedName>
    <definedName name="Phase_Times_Alt_1" localSheetId="8">OFFSET(#REF!, 959, 0, 10, 9)</definedName>
    <definedName name="Phase_Times_Alt_1" localSheetId="2">OFFSET(#REF!, 959, 0, 10, 9)</definedName>
    <definedName name="Phase_Times_Alt_1">OFFSET(#REF!, 959, 0, 10, 9)</definedName>
    <definedName name="Phase_Times_Alt_2" localSheetId="8">OFFSET(#REF!, 972, 0, 10, 9)</definedName>
    <definedName name="Phase_Times_Alt_2" localSheetId="2">OFFSET(#REF!, 972, 0, 10, 9)</definedName>
    <definedName name="Phase_Times_Alt_2">OFFSET(#REF!, 972, 0, 10, 9)</definedName>
    <definedName name="Phase_Times_Alt_3" localSheetId="8">OFFSET(#REF!, 985, 0, 10, 9)</definedName>
    <definedName name="Phase_Times_Alt_3" localSheetId="2">OFFSET(#REF!, 985, 0, 10, 9)</definedName>
    <definedName name="Phase_Times_Alt_3">OFFSET(#REF!, 985, 0, 10, 9)</definedName>
    <definedName name="Phase_Times_Alt_4" localSheetId="8">OFFSET(#REF!, 998, 0, 10, 9)</definedName>
    <definedName name="Phase_Times_Alt_4" localSheetId="2">OFFSET(#REF!, 998, 0, 10, 9)</definedName>
    <definedName name="Phase_Times_Alt_4">OFFSET(#REF!, 998, 0, 10, 9)</definedName>
    <definedName name="Phase_Times_Alt_5" localSheetId="8">OFFSET(#REF!, 1011, 0, 10, 9)</definedName>
    <definedName name="Phase_Times_Alt_5" localSheetId="2">OFFSET(#REF!, 1011, 0, 10, 9)</definedName>
    <definedName name="Phase_Times_Alt_5">OFFSET(#REF!, 1011, 0, 10, 9)</definedName>
    <definedName name="Phase_Times_Plus" localSheetId="8">OFFSET(#REF!, 1250, 0, 5, 17)</definedName>
    <definedName name="Phase_Times_Plus" localSheetId="2">OFFSET(#REF!, 1250, 0, 5, 17)</definedName>
    <definedName name="Phase_Times_Plus">OFFSET(#REF!, 1250, 0, 5, 17)</definedName>
    <definedName name="Phase_Times_Plus_Alt_1" localSheetId="8">OFFSET(#REF!, 1258, 0, 6, 9)</definedName>
    <definedName name="Phase_Times_Plus_Alt_1" localSheetId="2">OFFSET(#REF!, 1258, 0, 6, 9)</definedName>
    <definedName name="Phase_Times_Plus_Alt_1">OFFSET(#REF!, 1258, 0, 6, 9)</definedName>
    <definedName name="Phase_Times_Plus_Alt_2" localSheetId="8">OFFSET(#REF!, 1258, 9, 6, 9)</definedName>
    <definedName name="Phase_Times_Plus_Alt_2" localSheetId="2">OFFSET(#REF!, 1258, 9, 6, 9)</definedName>
    <definedName name="Phase_Times_Plus_Alt_2">OFFSET(#REF!, 1258, 9, 6, 9)</definedName>
    <definedName name="Phase_Times_Plus_Alt_3" localSheetId="8">OFFSET(#REF!, 1258, 18, 6, 9)</definedName>
    <definedName name="Phase_Times_Plus_Alt_3" localSheetId="2">OFFSET(#REF!, 1258, 18, 6, 9)</definedName>
    <definedName name="Phase_Times_Plus_Alt_3">OFFSET(#REF!, 1258, 18, 6, 9)</definedName>
    <definedName name="Port_Parameters" localSheetId="8">OFFSET(#REF!, 1195, 0, 2, 9)</definedName>
    <definedName name="Port_Parameters" localSheetId="2">OFFSET(#REF!, 1195, 0, 2, 9)</definedName>
    <definedName name="Port_Parameters">OFFSET(#REF!, 1195, 0, 2, 9)</definedName>
    <definedName name="Preempt" localSheetId="8">OFFSET(#REF!, 1024, 0, 41, 7)</definedName>
    <definedName name="Preempt" localSheetId="2">OFFSET(#REF!, 1024, 0, 41, 7)</definedName>
    <definedName name="Preempt">OFFSET(#REF!, 1024, 0, 41, 7)</definedName>
    <definedName name="Preempt_LP" localSheetId="8">OFFSET(#REF!, 1068, 0, 36, 5)</definedName>
    <definedName name="Preempt_LP" localSheetId="2">OFFSET(#REF!, 1068, 0, 36, 5)</definedName>
    <definedName name="Preempt_LP">OFFSET(#REF!, 1068, 0, 36, 5)</definedName>
    <definedName name="Preempt_LP_Alt_1" localSheetId="8">OFFSET(#REF!, 1107, 0, 7, 5)</definedName>
    <definedName name="Preempt_LP_Alt_1" localSheetId="2">OFFSET(#REF!, 1107, 0, 7, 5)</definedName>
    <definedName name="Preempt_LP_Alt_1">OFFSET(#REF!, 1107, 0, 7, 5)</definedName>
    <definedName name="Preempt_LP_Alt_2" localSheetId="8">OFFSET(#REF!, 1117, 0, 7, 5)</definedName>
    <definedName name="Preempt_LP_Alt_2" localSheetId="2">OFFSET(#REF!, 1117, 0, 7, 5)</definedName>
    <definedName name="Preempt_LP_Alt_2">OFFSET(#REF!, 1117, 0, 7, 5)</definedName>
    <definedName name="Preempt_LP_Alt_3" localSheetId="8">OFFSET(#REF!, 1127, 0, 7, 5)</definedName>
    <definedName name="Preempt_LP_Alt_3" localSheetId="2">OFFSET(#REF!, 1127, 0, 7, 5)</definedName>
    <definedName name="Preempt_LP_Alt_3">OFFSET(#REF!, 1127, 0, 7, 5)</definedName>
    <definedName name="Preempt_Parms" localSheetId="8">OFFSET(#REF!, 1137, 0, 2, 2)</definedName>
    <definedName name="Preempt_Parms" localSheetId="2">OFFSET(#REF!, 1137, 0, 2, 2)</definedName>
    <definedName name="Preempt_Parms">OFFSET(#REF!, 1137, 0, 2, 2)</definedName>
    <definedName name="Preempt_Plus" localSheetId="8">OFFSET(#REF!, 1142, 0, 38, 7)</definedName>
    <definedName name="Preempt_Plus" localSheetId="2">OFFSET(#REF!, 1142, 0, 38, 7)</definedName>
    <definedName name="Preempt_Plus">OFFSET(#REF!, 1142, 0, 38, 7)</definedName>
    <definedName name="_xlnm.Print_Area" localSheetId="7">' Alt Tables'!$A$1:$AJ$52</definedName>
    <definedName name="_xlnm.Print_Area" localSheetId="1">' Coord Page'!$A$1:$AI$50</definedName>
    <definedName name="_xlnm.Print_Area" localSheetId="8">'Annual Schedule '!$A$1:$BE$50</definedName>
    <definedName name="_xlnm.Print_Area" localSheetId="10">'C-1 Pins'!$A$1:$N$55</definedName>
    <definedName name="_xlnm.Print_Area" localSheetId="5">'Channels 1.8'!$A$1:$AC$32</definedName>
    <definedName name="_xlnm.Print_Area" localSheetId="6">Detectors!$A$1:$AD$49</definedName>
    <definedName name="_xlnm.Print_Area" localSheetId="11">'I &amp; J Files'!$A$1:$O$45</definedName>
    <definedName name="_xlnm.Print_Area" localSheetId="0">'Ø Olap (10 Phase)'!$A$1:$AN$50</definedName>
    <definedName name="_xlnm.Print_Area" localSheetId="4">'Ovlps, Preempts'!$A$1:$AL$53</definedName>
    <definedName name="_xlnm.Print_Area" localSheetId="2">SG_Coord!$A$1:$AI$50</definedName>
    <definedName name="_xlnm.Print_Area" localSheetId="3">TSP!$A$1:$AH$41</definedName>
    <definedName name="Ring_Input_Map" localSheetId="8">OFFSET(#REF!, 1183, 0, 1, 5)</definedName>
    <definedName name="Ring_Input_Map" localSheetId="2">OFFSET(#REF!, 1183, 0, 1, 5)</definedName>
    <definedName name="Ring_Input_Map">OFFSET(#REF!, 1183, 0, 1, 5)</definedName>
    <definedName name="Ring_Sequences_1" localSheetId="8">OFFSET(#REF!, 1187, 0, 8, 5)</definedName>
    <definedName name="Ring_Sequences_1" localSheetId="2">OFFSET(#REF!, 1187, 0, 8, 5)</definedName>
    <definedName name="Ring_Sequences_1">OFFSET(#REF!, 1187, 0, 8, 5)</definedName>
    <definedName name="Ring_Sequences_10" localSheetId="8">OFFSET(#REF!, 1286, 0, 8, 5)</definedName>
    <definedName name="Ring_Sequences_10" localSheetId="2">OFFSET(#REF!, 1286, 0, 8, 5)</definedName>
    <definedName name="Ring_Sequences_10">OFFSET(#REF!, 1286, 0, 8, 5)</definedName>
    <definedName name="Ring_Sequences_11" localSheetId="8">OFFSET(#REF!, 1297, 0, 8, 5)</definedName>
    <definedName name="Ring_Sequences_11" localSheetId="2">OFFSET(#REF!, 1297, 0, 8, 5)</definedName>
    <definedName name="Ring_Sequences_11">OFFSET(#REF!, 1297, 0, 8, 5)</definedName>
    <definedName name="Ring_Sequences_12" localSheetId="8">OFFSET(#REF!, 1308, 0, 8, 5)</definedName>
    <definedName name="Ring_Sequences_12" localSheetId="2">OFFSET(#REF!, 1308, 0, 8, 5)</definedName>
    <definedName name="Ring_Sequences_12">OFFSET(#REF!, 1308, 0, 8, 5)</definedName>
    <definedName name="Ring_Sequences_13" localSheetId="8">OFFSET(#REF!, 1319, 0, 8, 5)</definedName>
    <definedName name="Ring_Sequences_13" localSheetId="2">OFFSET(#REF!, 1319, 0, 8, 5)</definedName>
    <definedName name="Ring_Sequences_13">OFFSET(#REF!, 1319, 0, 8, 5)</definedName>
    <definedName name="Ring_Sequences_14" localSheetId="8">OFFSET(#REF!, 1330, 0, 8, 5)</definedName>
    <definedName name="Ring_Sequences_14" localSheetId="2">OFFSET(#REF!, 1330, 0, 8, 5)</definedName>
    <definedName name="Ring_Sequences_14">OFFSET(#REF!, 1330, 0, 8, 5)</definedName>
    <definedName name="Ring_Sequences_15" localSheetId="8">OFFSET(#REF!, 1341, 0, 8, 5)</definedName>
    <definedName name="Ring_Sequences_15" localSheetId="2">OFFSET(#REF!, 1341, 0, 8, 5)</definedName>
    <definedName name="Ring_Sequences_15">OFFSET(#REF!, 1341, 0, 8, 5)</definedName>
    <definedName name="Ring_Sequences_16" localSheetId="8">OFFSET(#REF!, 1352, 0, 8, 5)</definedName>
    <definedName name="Ring_Sequences_16" localSheetId="2">OFFSET(#REF!, 1352, 0, 8, 5)</definedName>
    <definedName name="Ring_Sequences_16">OFFSET(#REF!, 1352, 0, 8, 5)</definedName>
    <definedName name="Ring_Sequences_2" localSheetId="8">OFFSET(#REF!, 1198, 0, 8, 5)</definedName>
    <definedName name="Ring_Sequences_2" localSheetId="2">OFFSET(#REF!, 1198, 0, 8, 5)</definedName>
    <definedName name="Ring_Sequences_2">OFFSET(#REF!, 1198, 0, 8, 5)</definedName>
    <definedName name="Ring_Sequences_3" localSheetId="8">OFFSET(#REF!, 1209, 0, 8, 5)</definedName>
    <definedName name="Ring_Sequences_3" localSheetId="2">OFFSET(#REF!, 1209, 0, 8, 5)</definedName>
    <definedName name="Ring_Sequences_3">OFFSET(#REF!, 1209, 0, 8, 5)</definedName>
    <definedName name="Ring_Sequences_4" localSheetId="8">OFFSET(#REF!, 1220, 0, 8, 5)</definedName>
    <definedName name="Ring_Sequences_4" localSheetId="2">OFFSET(#REF!, 1220, 0, 8, 5)</definedName>
    <definedName name="Ring_Sequences_4">OFFSET(#REF!, 1220, 0, 8, 5)</definedName>
    <definedName name="Ring_Sequences_5" localSheetId="8">OFFSET(#REF!, 1231, 0, 8, 5)</definedName>
    <definedName name="Ring_Sequences_5" localSheetId="2">OFFSET(#REF!, 1231, 0, 8, 5)</definedName>
    <definedName name="Ring_Sequences_5">OFFSET(#REF!, 1231, 0, 8, 5)</definedName>
    <definedName name="Ring_Sequences_6" localSheetId="8">OFFSET(#REF!, 1242, 0, 8, 5)</definedName>
    <definedName name="Ring_Sequences_6" localSheetId="2">OFFSET(#REF!, 1242, 0, 8, 5)</definedName>
    <definedName name="Ring_Sequences_6">OFFSET(#REF!, 1242, 0, 8, 5)</definedName>
    <definedName name="Ring_Sequences_7" localSheetId="8">OFFSET(#REF!, 1253, 0, 8, 5)</definedName>
    <definedName name="Ring_Sequences_7" localSheetId="2">OFFSET(#REF!, 1253, 0, 8, 5)</definedName>
    <definedName name="Ring_Sequences_7">OFFSET(#REF!, 1253, 0, 8, 5)</definedName>
    <definedName name="Ring_Sequences_8" localSheetId="8">OFFSET(#REF!, 1264, 0, 8, 5)</definedName>
    <definedName name="Ring_Sequences_8" localSheetId="2">OFFSET(#REF!, 1264, 0, 8, 5)</definedName>
    <definedName name="Ring_Sequences_8">OFFSET(#REF!, 1264, 0, 8, 5)</definedName>
    <definedName name="Ring_Sequences_9" localSheetId="8">OFFSET(#REF!, 1275, 0, 8, 5)</definedName>
    <definedName name="Ring_Sequences_9" localSheetId="2">OFFSET(#REF!, 1275, 0, 8, 5)</definedName>
    <definedName name="Ring_Sequences_9">OFFSET(#REF!, 1275, 0, 8, 5)</definedName>
    <definedName name="Scheduler" localSheetId="8">OFFSET(#REF!, 1363, 0, 51, 101)</definedName>
    <definedName name="Scheduler" localSheetId="2">OFFSET(#REF!, 1363, 0, 51, 101)</definedName>
    <definedName name="Scheduler">OFFSET(#REF!, 1363, 0, 51, 101)</definedName>
    <definedName name="SDLC_Devices" localSheetId="8">OFFSET(#REF!, 1417, 0, 2, 19)</definedName>
    <definedName name="SDLC_Devices" localSheetId="2">OFFSET(#REF!, 1417, 0, 2, 19)</definedName>
    <definedName name="SDLC_Devices">OFFSET(#REF!, 1417, 0, 2, 19)</definedName>
    <definedName name="SDLC_Message_0" localSheetId="8">OFFSET(#REF!, 1422, 0, 1, 2)</definedName>
    <definedName name="SDLC_Message_0" localSheetId="2">OFFSET(#REF!, 1422, 0, 1, 2)</definedName>
    <definedName name="SDLC_Message_0">OFFSET(#REF!, 1422, 0, 1, 2)</definedName>
    <definedName name="Security_Passwords" localSheetId="8">OFFSET(#REF!, 1426, 0, 2, 65)</definedName>
    <definedName name="Security_Passwords" localSheetId="2">OFFSET(#REF!, 1426, 0, 2, 65)</definedName>
    <definedName name="Security_Passwords">OFFSET(#REF!, 1426, 0, 2, 65)</definedName>
    <definedName name="Sign_On" localSheetId="8">OFFSET(#REF!, 1431, 0, 1, 2)</definedName>
    <definedName name="Sign_On" localSheetId="2">OFFSET(#REF!, 1431, 0, 1, 2)</definedName>
    <definedName name="Sign_On">OFFSET(#REF!, 1431, 0, 1, 2)</definedName>
    <definedName name="Special_Functions" localSheetId="8">OFFSET(#REF!, 1435, 0, 24, 33)</definedName>
    <definedName name="Special_Functions" localSheetId="2">OFFSET(#REF!, 1435, 0, 24, 33)</definedName>
    <definedName name="Special_Functions">OFFSET(#REF!, 1435, 0, 24, 33)</definedName>
    <definedName name="Speed_Det" localSheetId="8">OFFSET(#REF!, 1462, 0, 4, 17)</definedName>
    <definedName name="Speed_Det" localSheetId="2">OFFSET(#REF!, 1462, 0, 4, 17)</definedName>
    <definedName name="Speed_Det">OFFSET(#REF!, 1462, 0, 4, 17)</definedName>
    <definedName name="Speed_Det_Thresholds" localSheetId="8">OFFSET(#REF!, 1469, 0, 8, 5)</definedName>
    <definedName name="Speed_Det_Thresholds" localSheetId="2">OFFSET(#REF!, 1469, 0, 8, 5)</definedName>
    <definedName name="Speed_Det_Thresholds">OFFSET(#REF!, 1469, 0, 8, 5)</definedName>
    <definedName name="Split_Plus" localSheetId="8">OFFSET(#REF!, 1480, 0, 48, 33)</definedName>
    <definedName name="Split_Plus" localSheetId="2">OFFSET(#REF!, 1480, 0, 48, 33)</definedName>
    <definedName name="Split_Plus">OFFSET(#REF!, 1480, 0, 48, 33)</definedName>
    <definedName name="Splits_1" localSheetId="8">OFFSET(#REF!, 1531, 0, 3, 17)</definedName>
    <definedName name="Splits_1" localSheetId="2">OFFSET(#REF!, 1531, 0, 3, 17)</definedName>
    <definedName name="Splits_1">OFFSET(#REF!, 1531, 0, 3, 17)</definedName>
    <definedName name="Splits_10" localSheetId="8">OFFSET(#REF!, 1585, 0, 3, 17)</definedName>
    <definedName name="Splits_10" localSheetId="2">OFFSET(#REF!, 1585, 0, 3, 17)</definedName>
    <definedName name="Splits_10">OFFSET(#REF!, 1585, 0, 3, 17)</definedName>
    <definedName name="Splits_11" localSheetId="8">OFFSET(#REF!, 1591, 0, 3, 17)</definedName>
    <definedName name="Splits_11" localSheetId="2">OFFSET(#REF!, 1591, 0, 3, 17)</definedName>
    <definedName name="Splits_11">OFFSET(#REF!, 1591, 0, 3, 17)</definedName>
    <definedName name="Splits_12" localSheetId="8">OFFSET(#REF!, 1597, 0, 3, 17)</definedName>
    <definedName name="Splits_12" localSheetId="2">OFFSET(#REF!, 1597, 0, 3, 17)</definedName>
    <definedName name="Splits_12">OFFSET(#REF!, 1597, 0, 3, 17)</definedName>
    <definedName name="Splits_13" localSheetId="8">OFFSET(#REF!, 1603, 0, 3, 17)</definedName>
    <definedName name="Splits_13" localSheetId="2">OFFSET(#REF!, 1603, 0, 3, 17)</definedName>
    <definedName name="Splits_13">OFFSET(#REF!, 1603, 0, 3, 17)</definedName>
    <definedName name="Splits_14" localSheetId="8">OFFSET(#REF!, 1609, 0, 3, 17)</definedName>
    <definedName name="Splits_14" localSheetId="2">OFFSET(#REF!, 1609, 0, 3, 17)</definedName>
    <definedName name="Splits_14">OFFSET(#REF!, 1609, 0, 3, 17)</definedName>
    <definedName name="Splits_15" localSheetId="8">OFFSET(#REF!, 1615, 0, 3, 17)</definedName>
    <definedName name="Splits_15" localSheetId="2">OFFSET(#REF!, 1615, 0, 3, 17)</definedName>
    <definedName name="Splits_15">OFFSET(#REF!, 1615, 0, 3, 17)</definedName>
    <definedName name="Splits_16" localSheetId="8">OFFSET(#REF!, 1621, 0, 3, 17)</definedName>
    <definedName name="Splits_16" localSheetId="2">OFFSET(#REF!, 1621, 0, 3, 17)</definedName>
    <definedName name="Splits_16">OFFSET(#REF!, 1621, 0, 3, 17)</definedName>
    <definedName name="Splits_17" localSheetId="8">OFFSET(#REF!, 1627, 0, 3, 17)</definedName>
    <definedName name="Splits_17" localSheetId="2">OFFSET(#REF!, 1627, 0, 3, 17)</definedName>
    <definedName name="Splits_17">OFFSET(#REF!, 1627, 0, 3, 17)</definedName>
    <definedName name="Splits_18" localSheetId="8">OFFSET(#REF!, 1633, 0, 3, 17)</definedName>
    <definedName name="Splits_18" localSheetId="2">OFFSET(#REF!, 1633, 0, 3, 17)</definedName>
    <definedName name="Splits_18">OFFSET(#REF!, 1633, 0, 3, 17)</definedName>
    <definedName name="Splits_19" localSheetId="8">OFFSET(#REF!, 1639, 0, 3, 17)</definedName>
    <definedName name="Splits_19" localSheetId="2">OFFSET(#REF!, 1639, 0, 3, 17)</definedName>
    <definedName name="Splits_19">OFFSET(#REF!, 1639, 0, 3, 17)</definedName>
    <definedName name="Splits_2" localSheetId="8">OFFSET(#REF!, 1537, 0, 3, 17)</definedName>
    <definedName name="Splits_2" localSheetId="2">OFFSET(#REF!, 1537, 0, 3, 17)</definedName>
    <definedName name="Splits_2">OFFSET(#REF!, 1537, 0, 3, 17)</definedName>
    <definedName name="Splits_20" localSheetId="8">OFFSET(#REF!, 1645, 0, 3, 17)</definedName>
    <definedName name="Splits_20" localSheetId="2">OFFSET(#REF!, 1645, 0, 3, 17)</definedName>
    <definedName name="Splits_20">OFFSET(#REF!, 1645, 0, 3, 17)</definedName>
    <definedName name="Splits_21" localSheetId="8">OFFSET(#REF!, 1651, 0, 3, 17)</definedName>
    <definedName name="Splits_21" localSheetId="2">OFFSET(#REF!, 1651, 0, 3, 17)</definedName>
    <definedName name="Splits_21">OFFSET(#REF!, 1651, 0, 3, 17)</definedName>
    <definedName name="Splits_22" localSheetId="8">OFFSET(#REF!, 1657, 0, 3, 17)</definedName>
    <definedName name="Splits_22" localSheetId="2">OFFSET(#REF!, 1657, 0, 3, 17)</definedName>
    <definedName name="Splits_22">OFFSET(#REF!, 1657, 0, 3, 17)</definedName>
    <definedName name="Splits_23" localSheetId="8">OFFSET(#REF!, 1663, 0, 3, 17)</definedName>
    <definedName name="Splits_23" localSheetId="2">OFFSET(#REF!, 1663, 0, 3, 17)</definedName>
    <definedName name="Splits_23">OFFSET(#REF!, 1663, 0, 3, 17)</definedName>
    <definedName name="Splits_24" localSheetId="8">OFFSET(#REF!, 1669, 0, 3, 17)</definedName>
    <definedName name="Splits_24" localSheetId="2">OFFSET(#REF!, 1669, 0, 3, 17)</definedName>
    <definedName name="Splits_24">OFFSET(#REF!, 1669, 0, 3, 17)</definedName>
    <definedName name="Splits_25" localSheetId="8">OFFSET(#REF!, 1675, 0, 3, 17)</definedName>
    <definedName name="Splits_25" localSheetId="2">OFFSET(#REF!, 1675, 0, 3, 17)</definedName>
    <definedName name="Splits_25">OFFSET(#REF!, 1675, 0, 3, 17)</definedName>
    <definedName name="Splits_26" localSheetId="8">OFFSET(#REF!, 1681, 0, 3, 17)</definedName>
    <definedName name="Splits_26" localSheetId="2">OFFSET(#REF!, 1681, 0, 3, 17)</definedName>
    <definedName name="Splits_26">OFFSET(#REF!, 1681, 0, 3, 17)</definedName>
    <definedName name="Splits_27" localSheetId="8">OFFSET(#REF!, 1687, 0, 3, 17)</definedName>
    <definedName name="Splits_27" localSheetId="2">OFFSET(#REF!, 1687, 0, 3, 17)</definedName>
    <definedName name="Splits_27">OFFSET(#REF!, 1687, 0, 3, 17)</definedName>
    <definedName name="Splits_28" localSheetId="8">OFFSET(#REF!, 1693, 0, 3, 17)</definedName>
    <definedName name="Splits_28" localSheetId="2">OFFSET(#REF!, 1693, 0, 3, 17)</definedName>
    <definedName name="Splits_28">OFFSET(#REF!, 1693, 0, 3, 17)</definedName>
    <definedName name="Splits_29" localSheetId="8">OFFSET(#REF!, 1699, 0, 3, 17)</definedName>
    <definedName name="Splits_29" localSheetId="2">OFFSET(#REF!, 1699, 0, 3, 17)</definedName>
    <definedName name="Splits_29">OFFSET(#REF!, 1699, 0, 3, 17)</definedName>
    <definedName name="Splits_3" localSheetId="8">OFFSET(#REF!, 1543, 0, 3, 17)</definedName>
    <definedName name="Splits_3" localSheetId="2">OFFSET(#REF!, 1543, 0, 3, 17)</definedName>
    <definedName name="Splits_3">OFFSET(#REF!, 1543, 0, 3, 17)</definedName>
    <definedName name="Splits_30" localSheetId="8">OFFSET(#REF!, 1705, 0, 3, 17)</definedName>
    <definedName name="Splits_30" localSheetId="2">OFFSET(#REF!, 1705, 0, 3, 17)</definedName>
    <definedName name="Splits_30">OFFSET(#REF!, 1705, 0, 3, 17)</definedName>
    <definedName name="Splits_31" localSheetId="8">OFFSET(#REF!, 1711, 0, 3, 17)</definedName>
    <definedName name="Splits_31" localSheetId="2">OFFSET(#REF!, 1711, 0, 3, 17)</definedName>
    <definedName name="Splits_31">OFFSET(#REF!, 1711, 0, 3, 17)</definedName>
    <definedName name="Splits_32" localSheetId="8">OFFSET(#REF!, 1717, 0, 3, 17)</definedName>
    <definedName name="Splits_32" localSheetId="2">OFFSET(#REF!, 1717, 0, 3, 17)</definedName>
    <definedName name="Splits_32">OFFSET(#REF!, 1717, 0, 3, 17)</definedName>
    <definedName name="Splits_4" localSheetId="8">OFFSET(#REF!, 1549, 0, 3, 17)</definedName>
    <definedName name="Splits_4" localSheetId="2">OFFSET(#REF!, 1549, 0, 3, 17)</definedName>
    <definedName name="Splits_4">OFFSET(#REF!, 1549, 0, 3, 17)</definedName>
    <definedName name="Splits_5" localSheetId="8">OFFSET(#REF!, 1555, 0, 3, 17)</definedName>
    <definedName name="Splits_5" localSheetId="2">OFFSET(#REF!, 1555, 0, 3, 17)</definedName>
    <definedName name="Splits_5">OFFSET(#REF!, 1555, 0, 3, 17)</definedName>
    <definedName name="Splits_6" localSheetId="8">OFFSET(#REF!, 1561, 0, 3, 17)</definedName>
    <definedName name="Splits_6" localSheetId="2">OFFSET(#REF!, 1561, 0, 3, 17)</definedName>
    <definedName name="Splits_6">OFFSET(#REF!, 1561, 0, 3, 17)</definedName>
    <definedName name="Splits_7" localSheetId="8">OFFSET(#REF!, 1567, 0, 3, 17)</definedName>
    <definedName name="Splits_7" localSheetId="2">OFFSET(#REF!, 1567, 0, 3, 17)</definedName>
    <definedName name="Splits_7">OFFSET(#REF!, 1567, 0, 3, 17)</definedName>
    <definedName name="Splits_8" localSheetId="8">OFFSET(#REF!, 1573, 0, 3, 17)</definedName>
    <definedName name="Splits_8" localSheetId="2">OFFSET(#REF!, 1573, 0, 3, 17)</definedName>
    <definedName name="Splits_8">OFFSET(#REF!, 1573, 0, 3, 17)</definedName>
    <definedName name="Splits_9" localSheetId="8">OFFSET(#REF!, 1579, 0, 3, 17)</definedName>
    <definedName name="Splits_9" localSheetId="2">OFFSET(#REF!, 1579, 0, 3, 17)</definedName>
    <definedName name="Splits_9">OFFSET(#REF!, 1579, 0, 3, 17)</definedName>
    <definedName name="Splits_Expanded_1" localSheetId="8">OFFSET(#REF!, 1274, 0, 3, 17)</definedName>
    <definedName name="Splits_Expanded_1" localSheetId="2">OFFSET(#REF!, 1274, 0, 3, 17)</definedName>
    <definedName name="Splits_Expanded_1">OFFSET(#REF!, 1274, 0, 3, 17)</definedName>
    <definedName name="Splits_Expanded_10" localSheetId="8">OFFSET(#REF!, 1274, 153, 3, 17)</definedName>
    <definedName name="Splits_Expanded_10" localSheetId="2">OFFSET(#REF!, 1274, 153, 3, 17)</definedName>
    <definedName name="Splits_Expanded_10">OFFSET(#REF!, 1274, 153, 3, 17)</definedName>
    <definedName name="Splits_Expanded_11" localSheetId="8">OFFSET(#REF!, 1274, 170, 3, 17)</definedName>
    <definedName name="Splits_Expanded_11" localSheetId="2">OFFSET(#REF!, 1274, 170, 3, 17)</definedName>
    <definedName name="Splits_Expanded_11">OFFSET(#REF!, 1274, 170, 3, 17)</definedName>
    <definedName name="Splits_Expanded_12" localSheetId="8">OFFSET(#REF!, 1274, 187, 3, 17)</definedName>
    <definedName name="Splits_Expanded_12" localSheetId="2">OFFSET(#REF!, 1274, 187, 3, 17)</definedName>
    <definedName name="Splits_Expanded_12">OFFSET(#REF!, 1274, 187, 3, 17)</definedName>
    <definedName name="Splits_Expanded_13" localSheetId="8">OFFSET(#REF!, 1274, 204, 3, 17)</definedName>
    <definedName name="Splits_Expanded_13" localSheetId="2">OFFSET(#REF!, 1274, 204, 3, 17)</definedName>
    <definedName name="Splits_Expanded_13">OFFSET(#REF!, 1274, 204, 3, 17)</definedName>
    <definedName name="Splits_Expanded_14" localSheetId="8">OFFSET(#REF!, 1274, 221, 3, 17)</definedName>
    <definedName name="Splits_Expanded_14" localSheetId="2">OFFSET(#REF!, 1274, 221, 3, 17)</definedName>
    <definedName name="Splits_Expanded_14">OFFSET(#REF!, 1274, 221, 3, 17)</definedName>
    <definedName name="Splits_Expanded_15" localSheetId="8">OFFSET(#REF!, 1274, 238, 3, 17)</definedName>
    <definedName name="Splits_Expanded_15" localSheetId="2">OFFSET(#REF!, 1274, 238, 3, 17)</definedName>
    <definedName name="Splits_Expanded_15">OFFSET(#REF!, 1274, 238, 3, 17)</definedName>
    <definedName name="Splits_Expanded_16" localSheetId="8">OFFSET(#REF!, 1274, 255, 3, 17)</definedName>
    <definedName name="Splits_Expanded_16" localSheetId="2">OFFSET(#REF!, 1274, 255, 3, 17)</definedName>
    <definedName name="Splits_Expanded_16">OFFSET(#REF!, 1274, 255, 3, 17)</definedName>
    <definedName name="Splits_Expanded_17" localSheetId="8">OFFSET(#REF!, 1274, 272, 3, 17)</definedName>
    <definedName name="Splits_Expanded_17" localSheetId="2">OFFSET(#REF!, 1274, 272, 3, 17)</definedName>
    <definedName name="Splits_Expanded_17">OFFSET(#REF!, 1274, 272, 3, 17)</definedName>
    <definedName name="Splits_Expanded_18" localSheetId="8">OFFSET(#REF!, 1274, 289, 3, 17)</definedName>
    <definedName name="Splits_Expanded_18" localSheetId="2">OFFSET(#REF!, 1274, 289, 3, 17)</definedName>
    <definedName name="Splits_Expanded_18">OFFSET(#REF!, 1274, 289, 3, 17)</definedName>
    <definedName name="Splits_Expanded_19" localSheetId="8">OFFSET(#REF!, 1274, 306, 3, 17)</definedName>
    <definedName name="Splits_Expanded_19" localSheetId="2">OFFSET(#REF!, 1274, 306, 3, 17)</definedName>
    <definedName name="Splits_Expanded_19">OFFSET(#REF!, 1274, 306, 3, 17)</definedName>
    <definedName name="Splits_Expanded_2" localSheetId="8">OFFSET(#REF!, 1274, 17, 3, 17)</definedName>
    <definedName name="Splits_Expanded_2" localSheetId="2">OFFSET(#REF!, 1274, 17, 3, 17)</definedName>
    <definedName name="Splits_Expanded_2">OFFSET(#REF!, 1274, 17, 3, 17)</definedName>
    <definedName name="Splits_Expanded_20" localSheetId="8">OFFSET(#REF!, 1274, 323, 3, 17)</definedName>
    <definedName name="Splits_Expanded_20" localSheetId="2">OFFSET(#REF!, 1274, 323, 3, 17)</definedName>
    <definedName name="Splits_Expanded_20">OFFSET(#REF!, 1274, 323, 3, 17)</definedName>
    <definedName name="Splits_Expanded_21" localSheetId="8">OFFSET(#REF!, 1274, 340, 3, 17)</definedName>
    <definedName name="Splits_Expanded_21" localSheetId="2">OFFSET(#REF!, 1274, 340, 3, 17)</definedName>
    <definedName name="Splits_Expanded_21">OFFSET(#REF!, 1274, 340, 3, 17)</definedName>
    <definedName name="Splits_Expanded_22" localSheetId="8">OFFSET(#REF!, 1274, 357, 3, 17)</definedName>
    <definedName name="Splits_Expanded_22" localSheetId="2">OFFSET(#REF!, 1274, 357, 3, 17)</definedName>
    <definedName name="Splits_Expanded_22">OFFSET(#REF!, 1274, 357, 3, 17)</definedName>
    <definedName name="Splits_Expanded_23" localSheetId="8">OFFSET(#REF!, 1274, 374, 3, 17)</definedName>
    <definedName name="Splits_Expanded_23" localSheetId="2">OFFSET(#REF!, 1274, 374, 3, 17)</definedName>
    <definedName name="Splits_Expanded_23">OFFSET(#REF!, 1274, 374, 3, 17)</definedName>
    <definedName name="Splits_Expanded_24" localSheetId="8">OFFSET(#REF!, 1274, 391, 3, 17)</definedName>
    <definedName name="Splits_Expanded_24" localSheetId="2">OFFSET(#REF!, 1274, 391, 3, 17)</definedName>
    <definedName name="Splits_Expanded_24">OFFSET(#REF!, 1274, 391, 3, 17)</definedName>
    <definedName name="Splits_Expanded_3" localSheetId="8">OFFSET(#REF!, 1274, 34, 3, 17)</definedName>
    <definedName name="Splits_Expanded_3" localSheetId="2">OFFSET(#REF!, 1274, 34, 3, 17)</definedName>
    <definedName name="Splits_Expanded_3">OFFSET(#REF!, 1274, 34, 3, 17)</definedName>
    <definedName name="Splits_Expanded_4" localSheetId="8">OFFSET(#REF!, 1274, 51, 3, 17)</definedName>
    <definedName name="Splits_Expanded_4" localSheetId="2">OFFSET(#REF!, 1274, 51, 3, 17)</definedName>
    <definedName name="Splits_Expanded_4">OFFSET(#REF!, 1274, 51, 3, 17)</definedName>
    <definedName name="Splits_Expanded_5" localSheetId="8">OFFSET(#REF!, 1274, 68, 3, 17)</definedName>
    <definedName name="Splits_Expanded_5" localSheetId="2">OFFSET(#REF!, 1274, 68, 3, 17)</definedName>
    <definedName name="Splits_Expanded_5">OFFSET(#REF!, 1274, 68, 3, 17)</definedName>
    <definedName name="Splits_Expanded_6" localSheetId="8">OFFSET(#REF!, 1274, 85, 3, 17)</definedName>
    <definedName name="Splits_Expanded_6" localSheetId="2">OFFSET(#REF!, 1274, 85, 3, 17)</definedName>
    <definedName name="Splits_Expanded_6">OFFSET(#REF!, 1274, 85, 3, 17)</definedName>
    <definedName name="Splits_Expanded_7" localSheetId="8">OFFSET(#REF!, 1274, 102, 3, 17)</definedName>
    <definedName name="Splits_Expanded_7" localSheetId="2">OFFSET(#REF!, 1274, 102, 3, 17)</definedName>
    <definedName name="Splits_Expanded_7">OFFSET(#REF!, 1274, 102, 3, 17)</definedName>
    <definedName name="Splits_Expanded_8" localSheetId="8">OFFSET(#REF!, 1274, 119, 3, 17)</definedName>
    <definedName name="Splits_Expanded_8" localSheetId="2">OFFSET(#REF!, 1274, 119, 3, 17)</definedName>
    <definedName name="Splits_Expanded_8">OFFSET(#REF!, 1274, 119, 3, 17)</definedName>
    <definedName name="Splits_Expanded_9" localSheetId="8">OFFSET(#REF!, 1274, 136, 3, 17)</definedName>
    <definedName name="Splits_Expanded_9" localSheetId="2">OFFSET(#REF!, 1274, 136, 3, 17)</definedName>
    <definedName name="Splits_Expanded_9">OFFSET(#REF!, 1274, 136, 3, 17)</definedName>
    <definedName name="Temperature_Alert" localSheetId="8">OFFSET(#REF!, 1723, 0, 9, 2)</definedName>
    <definedName name="Temperature_Alert" localSheetId="2">OFFSET(#REF!, 1723, 0, 9, 2)</definedName>
    <definedName name="Temperature_Alert">OFFSET(#REF!, 1723, 0, 9, 2)</definedName>
    <definedName name="test" localSheetId="13">Data!$A$1:$DZ$2946</definedName>
    <definedName name="test_1" localSheetId="13">Data!$A$1:$DZ$2946</definedName>
    <definedName name="test_10" localSheetId="13">Data!$A$1:$DZ$2946</definedName>
    <definedName name="test_11" localSheetId="13">Data!$A$1:$DZ$2946</definedName>
    <definedName name="test_12" localSheetId="13">Data!$A$1:$DZ$2946</definedName>
    <definedName name="test_13" localSheetId="13">Data!$A$1:$DZ$2946</definedName>
    <definedName name="test_14" localSheetId="13">Data!$A$1:$DZ$2946</definedName>
    <definedName name="test_15" localSheetId="13">Data!$A$1:$DZ$2946</definedName>
    <definedName name="test_16" localSheetId="13">Data!$A$1:$DZ$2946</definedName>
    <definedName name="test_17" localSheetId="13">Data!$A$1:$DZ$2946</definedName>
    <definedName name="test_18" localSheetId="13">Data!$A$1:$DZ$2946</definedName>
    <definedName name="test_19" localSheetId="13">Data!$A$1:$DZ$2946</definedName>
    <definedName name="test_2" localSheetId="13">Data!$A$1:$DZ$2946</definedName>
    <definedName name="test_20" localSheetId="13">Data!$A$1:$DZ$2971</definedName>
    <definedName name="test_21" localSheetId="13">Data!$A$1:$DZ$2971</definedName>
    <definedName name="test_22" localSheetId="13">Data!$A$1:$DZ$2971</definedName>
    <definedName name="test_23" localSheetId="13">Data!$A$1:$DZ$2971</definedName>
    <definedName name="test_24" localSheetId="13">Data!$A$1:$DZ$2971</definedName>
    <definedName name="test_25" localSheetId="13">Data!$A$1:$DZ$2971</definedName>
    <definedName name="test_26" localSheetId="13">Data!$A$1:$DZ$2971</definedName>
    <definedName name="test_27" localSheetId="13">Data!$A$1:$DZ$2971</definedName>
    <definedName name="test_28" localSheetId="13">Data!$A$1:$DZ$2971</definedName>
    <definedName name="test_29" localSheetId="13">Data!$A$1:$DZ$2971</definedName>
    <definedName name="test_3" localSheetId="13">Data!$A$1:$DZ$2946</definedName>
    <definedName name="test_30" localSheetId="13">Data!$A$1:$DZ$3944</definedName>
    <definedName name="test_31" localSheetId="13">Data!$A$1:$DZ$3652</definedName>
    <definedName name="test_32" localSheetId="13">Data!$A$1:$DZ$3652</definedName>
    <definedName name="test_33" localSheetId="13">Data!$A$1:$DZ$3652</definedName>
    <definedName name="test_34" localSheetId="13">Data!$A$1:$DZ$3652</definedName>
    <definedName name="test_4" localSheetId="13">Data!$A$1:$DZ$2946</definedName>
    <definedName name="test_5" localSheetId="13">Data!$A$1:$DZ$2946</definedName>
    <definedName name="test_6" localSheetId="13">Data!$A$1:$DZ$2946</definedName>
    <definedName name="test_7" localSheetId="13">Data!$A$1:$DZ$2946</definedName>
    <definedName name="test_8" localSheetId="13">Data!$A$1:$DZ$2946</definedName>
    <definedName name="test_9" localSheetId="13">Data!$A$1:$DZ$2946</definedName>
    <definedName name="TSP_Light_Rail" localSheetId="8">OFFSET(#REF!, 1372, 0, 8, 5)</definedName>
    <definedName name="TSP_Light_Rail" localSheetId="2">OFFSET(#REF!, 1372, 0, 8, 5)</definedName>
    <definedName name="TSP_Light_Rail">OFFSET(#REF!, 1372, 0, 8, 5)</definedName>
    <definedName name="TSP_Splits" localSheetId="8">OFFSET(#REF!, 1284, 0, 46, 25)</definedName>
    <definedName name="TSP_Splits" localSheetId="2">OFFSET(#REF!, 1284, 0, 46, 25)</definedName>
    <definedName name="TSP_Splits">OFFSET(#REF!, 1284, 0, 46, 25)</definedName>
    <definedName name="TSP_Strategy" localSheetId="8">OFFSET(#REF!, 1333, 0, 36, 9)</definedName>
    <definedName name="TSP_Strategy" localSheetId="2">OFFSET(#REF!, 1333, 0, 36, 9)</definedName>
    <definedName name="TSP_Strategy">OFFSET(#REF!, 1333, 0, 36, 9)</definedName>
    <definedName name="Unit_Parms" localSheetId="8">OFFSET(#REF!, 1735, 0, 4, 2)</definedName>
    <definedName name="Unit_Parms" localSheetId="2">OFFSET(#REF!, 1735, 0, 4, 2)</definedName>
    <definedName name="Unit_Parms">OFFSET(#REF!, 1735, 0, 4, 2)</definedName>
    <definedName name="Unit_Parms_Plus" localSheetId="8">OFFSET(#REF!, 1742, 0, 18, 2)</definedName>
    <definedName name="Unit_Parms_Plus" localSheetId="2">OFFSET(#REF!, 1742, 0, 18, 2)</definedName>
    <definedName name="Unit_Parms_Plus">OFFSET(#REF!, 1742, 0, 18, 2)</definedName>
    <definedName name="User_Input_Map" localSheetId="8">OFFSET(#REF!, 1173, 0, 8, 9)</definedName>
    <definedName name="User_Input_Map" localSheetId="2">OFFSET(#REF!, 1173, 0, 8, 9)</definedName>
    <definedName name="User_Input_Map">OFFSET(#REF!, 1173, 0, 8, 9)</definedName>
    <definedName name="User_Output_Map" localSheetId="8">OFFSET(#REF!, 1184, 0, 8, 9)</definedName>
    <definedName name="User_Output_Map" localSheetId="2">OFFSET(#REF!, 1184, 0, 8, 9)</definedName>
    <definedName name="User_Output_Map">OFFSET(#REF!, 1184, 0, 8, 9)</definedName>
    <definedName name="Vehicle_Dets" localSheetId="8">OFFSET(#REF!, 1763, 0, 17, 65)</definedName>
    <definedName name="Vehicle_Dets" localSheetId="2">OFFSET(#REF!, 1763, 0, 17, 65)</definedName>
    <definedName name="Vehicle_Dets">OFFSET(#REF!, 1763, 0, 17, 65)</definedName>
    <definedName name="Vehicle_Dets_Alt_1" localSheetId="8">OFFSET(#REF!, 1783, 0, 25, 17)</definedName>
    <definedName name="Vehicle_Dets_Alt_1" localSheetId="2">OFFSET(#REF!, 1783, 0, 25, 17)</definedName>
    <definedName name="Vehicle_Dets_Alt_1">OFFSET(#REF!, 1783, 0, 25, 17)</definedName>
    <definedName name="Vehicle_Dets_Alt_2" localSheetId="8">OFFSET(#REF!, 1811, 0, 25, 17)</definedName>
    <definedName name="Vehicle_Dets_Alt_2" localSheetId="2">OFFSET(#REF!, 1811, 0, 25, 17)</definedName>
    <definedName name="Vehicle_Dets_Alt_2">OFFSET(#REF!, 1811, 0, 25, 17)</definedName>
    <definedName name="Vehicle_Dets_Alt_3" localSheetId="8">OFFSET(#REF!, 1839, 0, 25, 17)</definedName>
    <definedName name="Vehicle_Dets_Alt_3" localSheetId="2">OFFSET(#REF!, 1839, 0, 25, 17)</definedName>
    <definedName name="Vehicle_Dets_Alt_3">OFFSET(#REF!, 1839, 0, 25, 17)</definedName>
    <definedName name="Vehicle_Dets_Plus" localSheetId="8">OFFSET(#REF!, 1867, 0, 7, 65)</definedName>
    <definedName name="Vehicle_Dets_Plus" localSheetId="2">OFFSET(#REF!, 1867, 0, 7, 65)</definedName>
    <definedName name="Vehicle_Dets_Plus">OFFSET(#REF!, 1867, 0, 7, 65)</definedName>
    <definedName name="Vol_Occ_Sample_Periods" localSheetId="8">OFFSET(#REF!, 1877, 0, 2, 2)</definedName>
    <definedName name="Vol_Occ_Sample_Periods" localSheetId="2">OFFSET(#REF!, 1877, 0, 2, 2)</definedName>
    <definedName name="Vol_Occ_Sample_Periods">OFFSET(#REF!, 1877, 0, 2, 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3" i="24" l="1"/>
  <c r="BD1" i="32"/>
  <c r="BD30" i="32"/>
  <c r="BE50" i="32"/>
  <c r="BD50" i="32"/>
  <c r="BC50" i="32"/>
  <c r="BE49" i="32"/>
  <c r="BD49" i="32"/>
  <c r="BC49" i="32"/>
  <c r="BE48" i="32"/>
  <c r="BD48" i="32"/>
  <c r="BC48" i="32"/>
  <c r="BE47" i="32"/>
  <c r="BD47" i="32"/>
  <c r="BC47" i="32"/>
  <c r="BE46" i="32"/>
  <c r="BD46" i="32"/>
  <c r="BC46" i="32"/>
  <c r="BE45" i="32"/>
  <c r="BD45" i="32"/>
  <c r="BC45" i="32"/>
  <c r="BE44" i="32"/>
  <c r="BD44" i="32"/>
  <c r="BC44" i="32"/>
  <c r="BE43" i="32"/>
  <c r="BD43" i="32"/>
  <c r="BC43" i="32"/>
  <c r="BE42" i="32"/>
  <c r="BD42" i="32"/>
  <c r="BC42" i="32"/>
  <c r="BE41" i="32"/>
  <c r="BD41" i="32"/>
  <c r="BC41" i="32"/>
  <c r="AX50" i="32"/>
  <c r="AV50" i="32"/>
  <c r="AX49" i="32"/>
  <c r="AV49" i="32"/>
  <c r="AX48" i="32"/>
  <c r="AV48" i="32"/>
  <c r="AX47" i="32"/>
  <c r="AV47" i="32"/>
  <c r="AX46" i="32"/>
  <c r="AV46" i="32"/>
  <c r="AX45" i="32"/>
  <c r="AV45" i="32"/>
  <c r="AX44" i="32"/>
  <c r="AV44" i="32"/>
  <c r="AX43" i="32"/>
  <c r="AV43" i="32"/>
  <c r="AX42" i="32"/>
  <c r="AV42" i="32"/>
  <c r="AX41" i="32"/>
  <c r="AV41" i="32"/>
  <c r="AZ50" i="32"/>
  <c r="AZ49" i="32"/>
  <c r="AZ48" i="32"/>
  <c r="AZ47" i="32"/>
  <c r="AZ46" i="32"/>
  <c r="AZ45" i="32"/>
  <c r="AZ44" i="32"/>
  <c r="AZ43" i="32"/>
  <c r="AZ42" i="32"/>
  <c r="AZ41" i="32"/>
  <c r="AR50" i="32"/>
  <c r="AR49" i="32"/>
  <c r="AR48" i="32"/>
  <c r="AR47" i="32"/>
  <c r="AR46" i="32"/>
  <c r="AR45" i="32"/>
  <c r="AR44" i="32"/>
  <c r="AR43" i="32"/>
  <c r="AR42" i="32"/>
  <c r="AR41" i="32"/>
  <c r="AP50" i="32"/>
  <c r="AN50" i="32"/>
  <c r="AP49" i="32"/>
  <c r="AN49" i="32"/>
  <c r="AP48" i="32"/>
  <c r="AN48" i="32"/>
  <c r="AP47" i="32"/>
  <c r="AN47" i="32"/>
  <c r="AP46" i="32"/>
  <c r="AN46" i="32"/>
  <c r="AP45" i="32"/>
  <c r="AN45" i="32"/>
  <c r="AP44" i="32"/>
  <c r="AN44" i="32"/>
  <c r="AP43" i="32"/>
  <c r="AN43" i="32"/>
  <c r="AP42" i="32"/>
  <c r="AN42" i="32"/>
  <c r="AP41" i="32"/>
  <c r="AN41" i="32"/>
  <c r="AH50" i="32"/>
  <c r="AF50" i="32"/>
  <c r="AH49" i="32"/>
  <c r="AF49" i="32"/>
  <c r="AH48" i="32"/>
  <c r="AF48" i="32"/>
  <c r="AH47" i="32"/>
  <c r="AF47" i="32"/>
  <c r="AH46" i="32"/>
  <c r="AF46" i="32"/>
  <c r="AH45" i="32"/>
  <c r="AF45" i="32"/>
  <c r="AH44" i="32"/>
  <c r="AF44" i="32"/>
  <c r="AH43" i="32"/>
  <c r="AF43" i="32"/>
  <c r="AH42" i="32"/>
  <c r="AF42" i="32"/>
  <c r="AH41" i="32"/>
  <c r="AF41" i="32"/>
  <c r="AJ50" i="32"/>
  <c r="AJ49" i="32"/>
  <c r="AJ48" i="32"/>
  <c r="AJ47" i="32"/>
  <c r="AJ46" i="32"/>
  <c r="AJ45" i="32"/>
  <c r="AJ44" i="32"/>
  <c r="AJ43" i="32"/>
  <c r="AJ42" i="32"/>
  <c r="AJ41" i="32"/>
  <c r="AB50" i="32"/>
  <c r="AB49" i="32"/>
  <c r="AB48" i="32"/>
  <c r="AB47" i="32"/>
  <c r="AB46" i="32"/>
  <c r="AB45" i="32"/>
  <c r="AB44" i="32"/>
  <c r="AB43" i="32"/>
  <c r="AB42" i="32"/>
  <c r="AB41" i="32"/>
  <c r="Z50" i="32"/>
  <c r="X50" i="32"/>
  <c r="Z49" i="32"/>
  <c r="X49" i="32"/>
  <c r="Z48" i="32"/>
  <c r="X48" i="32"/>
  <c r="Z47" i="32"/>
  <c r="X47" i="32"/>
  <c r="Z46" i="32"/>
  <c r="X46" i="32"/>
  <c r="Z45" i="32"/>
  <c r="X45" i="32"/>
  <c r="Z44" i="32"/>
  <c r="X44" i="32"/>
  <c r="Z43" i="32"/>
  <c r="X43" i="32"/>
  <c r="Z42" i="32"/>
  <c r="X42" i="32"/>
  <c r="Z41" i="32"/>
  <c r="X41" i="32"/>
  <c r="U50" i="32"/>
  <c r="T50" i="32"/>
  <c r="S50" i="32"/>
  <c r="U49" i="32"/>
  <c r="T49" i="32"/>
  <c r="S49" i="32"/>
  <c r="U48" i="32"/>
  <c r="T48" i="32"/>
  <c r="S48" i="32"/>
  <c r="U47" i="32"/>
  <c r="T47" i="32"/>
  <c r="S47" i="32"/>
  <c r="U46" i="32"/>
  <c r="T46" i="32"/>
  <c r="S46" i="32"/>
  <c r="U45" i="32"/>
  <c r="T45" i="32"/>
  <c r="S45" i="32"/>
  <c r="U44" i="32"/>
  <c r="T44" i="32"/>
  <c r="S44" i="32"/>
  <c r="U43" i="32"/>
  <c r="T43" i="32"/>
  <c r="S43" i="32"/>
  <c r="U42" i="32"/>
  <c r="T42" i="32"/>
  <c r="S42" i="32"/>
  <c r="S41" i="32"/>
  <c r="Q50" i="32"/>
  <c r="P50" i="32"/>
  <c r="N50" i="32"/>
  <c r="Q49" i="32"/>
  <c r="P49" i="32"/>
  <c r="N49" i="32"/>
  <c r="Q48" i="32"/>
  <c r="P48" i="32"/>
  <c r="N48" i="32"/>
  <c r="Q47" i="32"/>
  <c r="P47" i="32"/>
  <c r="N47" i="32"/>
  <c r="Q46" i="32"/>
  <c r="P46" i="32"/>
  <c r="N46" i="32"/>
  <c r="Q45" i="32"/>
  <c r="P45" i="32"/>
  <c r="N45" i="32"/>
  <c r="Q44" i="32"/>
  <c r="P44" i="32"/>
  <c r="N44" i="32"/>
  <c r="Q43" i="32"/>
  <c r="P43" i="32"/>
  <c r="N43" i="32"/>
  <c r="N42" i="32"/>
  <c r="N41" i="32"/>
  <c r="BB24" i="32"/>
  <c r="BB22" i="32"/>
  <c r="BB36" i="32"/>
  <c r="BB34" i="32"/>
  <c r="BB32" i="32"/>
  <c r="BB30" i="32"/>
  <c r="BB28" i="32"/>
  <c r="BB26" i="32"/>
  <c r="L50" i="32"/>
  <c r="K50" i="32"/>
  <c r="J50" i="32"/>
  <c r="L49" i="32"/>
  <c r="K49" i="32"/>
  <c r="J49" i="32"/>
  <c r="L48" i="32"/>
  <c r="K48" i="32"/>
  <c r="J48" i="32"/>
  <c r="L47" i="32"/>
  <c r="K47" i="32"/>
  <c r="J47" i="32"/>
  <c r="L46" i="32"/>
  <c r="K46" i="32"/>
  <c r="J46" i="32"/>
  <c r="L45" i="32"/>
  <c r="K45" i="32"/>
  <c r="J45" i="32"/>
  <c r="L44" i="32"/>
  <c r="K44" i="32"/>
  <c r="J44" i="32"/>
  <c r="K42" i="32"/>
  <c r="J4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G43" i="32"/>
  <c r="F4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C43" i="32"/>
  <c r="B41" i="32"/>
  <c r="BB20" i="32"/>
  <c r="BB18" i="32"/>
  <c r="BB16" i="32"/>
  <c r="BB14" i="32"/>
  <c r="BB12" i="32"/>
  <c r="BB10" i="32"/>
  <c r="BB8" i="32"/>
  <c r="BB6" i="32"/>
  <c r="BB4" i="32"/>
  <c r="BB2" i="32"/>
  <c r="X34" i="24"/>
  <c r="X33" i="24"/>
  <c r="X32" i="24"/>
  <c r="AJ31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AE19" i="24"/>
  <c r="X19" i="24"/>
  <c r="X18" i="24"/>
  <c r="X17" i="24"/>
  <c r="M33" i="17"/>
  <c r="M32" i="17"/>
  <c r="M31" i="17"/>
  <c r="M30" i="17"/>
  <c r="M29" i="17"/>
  <c r="M28" i="17"/>
  <c r="M27" i="17"/>
  <c r="M26" i="17"/>
  <c r="M25" i="17"/>
  <c r="M24" i="17"/>
  <c r="M23" i="17"/>
  <c r="M22" i="17"/>
  <c r="V17" i="17"/>
  <c r="U17" i="17"/>
  <c r="T17" i="17"/>
  <c r="S17" i="17"/>
  <c r="R17" i="17"/>
  <c r="Q17" i="17"/>
  <c r="P17" i="17"/>
  <c r="O17" i="17"/>
  <c r="N17" i="17"/>
  <c r="M17" i="17"/>
  <c r="V16" i="17"/>
  <c r="U16" i="17"/>
  <c r="T16" i="17"/>
  <c r="S16" i="17"/>
  <c r="R16" i="17"/>
  <c r="Q16" i="17"/>
  <c r="P16" i="17"/>
  <c r="O16" i="17"/>
  <c r="N16" i="17"/>
  <c r="M16" i="17"/>
  <c r="V15" i="17"/>
  <c r="U15" i="17"/>
  <c r="T15" i="17"/>
  <c r="S15" i="17"/>
  <c r="R15" i="17"/>
  <c r="Q15" i="17"/>
  <c r="P15" i="17"/>
  <c r="O15" i="17"/>
  <c r="N15" i="17"/>
  <c r="M15" i="17"/>
  <c r="V14" i="17"/>
  <c r="U14" i="17"/>
  <c r="T14" i="17"/>
  <c r="S14" i="17"/>
  <c r="R14" i="17"/>
  <c r="Q14" i="17"/>
  <c r="P14" i="17"/>
  <c r="O14" i="17"/>
  <c r="N14" i="17"/>
  <c r="M14" i="17"/>
  <c r="V13" i="17"/>
  <c r="U13" i="17"/>
  <c r="T13" i="17"/>
  <c r="S13" i="17"/>
  <c r="R13" i="17"/>
  <c r="Q13" i="17"/>
  <c r="P13" i="17"/>
  <c r="O13" i="17"/>
  <c r="N13" i="17"/>
  <c r="M13" i="17"/>
  <c r="O10" i="17"/>
  <c r="O8" i="17"/>
  <c r="R7" i="17"/>
  <c r="T5" i="17"/>
  <c r="O4" i="17"/>
  <c r="K1" i="17"/>
  <c r="J1" i="17"/>
  <c r="K5" i="17"/>
  <c r="J5" i="17"/>
  <c r="K4" i="17"/>
  <c r="J4" i="17"/>
  <c r="C38" i="17"/>
  <c r="C36" i="17"/>
  <c r="I35" i="17"/>
  <c r="D34" i="17"/>
  <c r="I33" i="17"/>
  <c r="H32" i="17"/>
  <c r="C32" i="17"/>
  <c r="K30" i="17"/>
  <c r="F29" i="17"/>
  <c r="G26" i="17"/>
  <c r="D26" i="17"/>
  <c r="H24" i="17"/>
  <c r="I5" i="17"/>
  <c r="H5" i="17"/>
  <c r="G5" i="17"/>
  <c r="F5" i="17"/>
  <c r="E5" i="17"/>
  <c r="D5" i="17"/>
  <c r="C5" i="17"/>
  <c r="B5" i="17"/>
  <c r="K21" i="17"/>
  <c r="J21" i="17"/>
  <c r="I21" i="17"/>
  <c r="H21" i="17"/>
  <c r="G21" i="17"/>
  <c r="F21" i="17"/>
  <c r="E21" i="17"/>
  <c r="D21" i="17"/>
  <c r="C21" i="17"/>
  <c r="B21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I19" i="17"/>
  <c r="H19" i="17"/>
  <c r="G19" i="17"/>
  <c r="F19" i="17"/>
  <c r="E19" i="17"/>
  <c r="D19" i="17"/>
  <c r="C19" i="17"/>
  <c r="B19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I17" i="17"/>
  <c r="H17" i="17"/>
  <c r="G17" i="17"/>
  <c r="F17" i="17"/>
  <c r="E17" i="17"/>
  <c r="D17" i="17"/>
  <c r="C17" i="17"/>
  <c r="B17" i="17"/>
  <c r="K16" i="17"/>
  <c r="J16" i="17"/>
  <c r="I16" i="17"/>
  <c r="H16" i="17"/>
  <c r="G16" i="17"/>
  <c r="F16" i="17"/>
  <c r="E16" i="17"/>
  <c r="D16" i="17"/>
  <c r="C16" i="17"/>
  <c r="B16" i="17"/>
  <c r="K15" i="17"/>
  <c r="J15" i="17"/>
  <c r="I15" i="17"/>
  <c r="H15" i="17"/>
  <c r="G15" i="17"/>
  <c r="F15" i="17"/>
  <c r="E15" i="17"/>
  <c r="D15" i="17"/>
  <c r="C15" i="17"/>
  <c r="B15" i="17"/>
  <c r="K14" i="17"/>
  <c r="J14" i="17"/>
  <c r="I14" i="17"/>
  <c r="H14" i="17"/>
  <c r="G14" i="17"/>
  <c r="F14" i="17"/>
  <c r="E14" i="17"/>
  <c r="D14" i="17"/>
  <c r="C14" i="17"/>
  <c r="B14" i="17"/>
  <c r="K13" i="17"/>
  <c r="J13" i="17"/>
  <c r="I13" i="17"/>
  <c r="H13" i="17"/>
  <c r="G13" i="17"/>
  <c r="F13" i="17"/>
  <c r="E13" i="17"/>
  <c r="D13" i="17"/>
  <c r="C13" i="17"/>
  <c r="B13" i="17"/>
  <c r="K12" i="17"/>
  <c r="J12" i="17"/>
  <c r="I12" i="17"/>
  <c r="H12" i="17"/>
  <c r="G12" i="17"/>
  <c r="F12" i="17"/>
  <c r="E12" i="17"/>
  <c r="D12" i="17"/>
  <c r="C12" i="17"/>
  <c r="B12" i="17"/>
  <c r="K11" i="17"/>
  <c r="J11" i="17"/>
  <c r="I11" i="17"/>
  <c r="H11" i="17"/>
  <c r="G11" i="17"/>
  <c r="F11" i="17"/>
  <c r="E11" i="17"/>
  <c r="D11" i="17"/>
  <c r="C11" i="17"/>
  <c r="B11" i="17"/>
  <c r="K10" i="17"/>
  <c r="J10" i="17"/>
  <c r="I10" i="17"/>
  <c r="H10" i="17"/>
  <c r="G10" i="17"/>
  <c r="F10" i="17"/>
  <c r="E10" i="17"/>
  <c r="D10" i="17"/>
  <c r="B10" i="17"/>
  <c r="K9" i="17"/>
  <c r="J9" i="17"/>
  <c r="I9" i="17"/>
  <c r="H9" i="17"/>
  <c r="G9" i="17"/>
  <c r="F9" i="17"/>
  <c r="E9" i="17"/>
  <c r="D9" i="17"/>
  <c r="C9" i="17"/>
  <c r="B9" i="17"/>
  <c r="K8" i="17"/>
  <c r="J8" i="17"/>
  <c r="I8" i="17"/>
  <c r="H8" i="17"/>
  <c r="G8" i="17"/>
  <c r="F8" i="17"/>
  <c r="E8" i="17"/>
  <c r="D8" i="17"/>
  <c r="C8" i="17"/>
  <c r="B8" i="17"/>
  <c r="K7" i="17"/>
  <c r="J7" i="17"/>
  <c r="I7" i="17"/>
  <c r="H7" i="17"/>
  <c r="G7" i="17"/>
  <c r="F7" i="17"/>
  <c r="E7" i="17"/>
  <c r="D7" i="17"/>
  <c r="C7" i="17"/>
  <c r="B7" i="17"/>
  <c r="K6" i="17"/>
  <c r="J6" i="17"/>
  <c r="I6" i="17"/>
  <c r="H6" i="17"/>
  <c r="G6" i="17"/>
  <c r="F6" i="17"/>
  <c r="E6" i="17"/>
  <c r="D6" i="17"/>
  <c r="C6" i="17"/>
  <c r="B6" i="17"/>
  <c r="I4" i="17"/>
  <c r="H4" i="17"/>
  <c r="G4" i="17"/>
  <c r="F4" i="17"/>
  <c r="E4" i="17"/>
  <c r="D4" i="17"/>
  <c r="C4" i="17"/>
  <c r="B4" i="17"/>
  <c r="B236" i="28"/>
  <c r="Z17" i="24" s="1"/>
  <c r="C236" i="28"/>
  <c r="Z18" i="24" s="1"/>
  <c r="D236" i="28"/>
  <c r="Z19" i="24" s="1"/>
  <c r="E236" i="28"/>
  <c r="Z20" i="24" s="1"/>
  <c r="F236" i="28"/>
  <c r="Z21" i="24" s="1"/>
  <c r="G236" i="28"/>
  <c r="Z22" i="24" s="1"/>
  <c r="H236" i="28"/>
  <c r="Z23" i="24" s="1"/>
  <c r="I236" i="28"/>
  <c r="Z24" i="24" s="1"/>
  <c r="J236" i="28"/>
  <c r="Z25" i="24" s="1"/>
  <c r="K236" i="28"/>
  <c r="Z26" i="24" s="1"/>
  <c r="L236" i="28"/>
  <c r="Z27" i="24" s="1"/>
  <c r="M236" i="28"/>
  <c r="Z28" i="24" s="1"/>
  <c r="N236" i="28"/>
  <c r="Z29" i="24" s="1"/>
  <c r="O236" i="28"/>
  <c r="Z30" i="24" s="1"/>
  <c r="P236" i="28"/>
  <c r="Z31" i="24" s="1"/>
  <c r="Q236" i="28"/>
  <c r="Z32" i="24" s="1"/>
  <c r="R236" i="28"/>
  <c r="S236" i="28"/>
  <c r="T236" i="28"/>
  <c r="U236" i="28"/>
  <c r="V236" i="28"/>
  <c r="W236" i="28"/>
  <c r="X236" i="28"/>
  <c r="Y236" i="28"/>
  <c r="Z236" i="28"/>
  <c r="AA236" i="28"/>
  <c r="AB236" i="28"/>
  <c r="AC236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Q236" i="28"/>
  <c r="AR236" i="28"/>
  <c r="AS236" i="28"/>
  <c r="AT236" i="28"/>
  <c r="AU236" i="28"/>
  <c r="AV236" i="28"/>
  <c r="AW236" i="28"/>
  <c r="AX236" i="28"/>
  <c r="AY236" i="28"/>
  <c r="AZ236" i="28"/>
  <c r="BA236" i="28"/>
  <c r="BB236" i="28"/>
  <c r="BC236" i="28"/>
  <c r="Z33" i="24" s="1"/>
  <c r="BD236" i="28"/>
  <c r="Z34" i="24" s="1"/>
  <c r="BE236" i="28"/>
  <c r="BF236" i="28"/>
  <c r="BG236" i="28"/>
  <c r="BH236" i="28"/>
  <c r="BI236" i="28"/>
  <c r="BJ236" i="28"/>
  <c r="BK236" i="28"/>
  <c r="BL236" i="28"/>
  <c r="BM236" i="28"/>
  <c r="BN236" i="28"/>
  <c r="BO236" i="28"/>
  <c r="BP236" i="28"/>
  <c r="BQ236" i="28"/>
  <c r="BR236" i="28"/>
  <c r="BS236" i="28"/>
  <c r="BT236" i="28"/>
  <c r="BU236" i="28"/>
  <c r="BV236" i="28"/>
  <c r="BW236" i="28"/>
  <c r="BX236" i="28"/>
  <c r="BY236" i="28"/>
  <c r="BZ236" i="28"/>
  <c r="CA236" i="28"/>
  <c r="CB236" i="28"/>
  <c r="CC236" i="28"/>
  <c r="CD236" i="28"/>
  <c r="CE236" i="28"/>
  <c r="CF236" i="28"/>
  <c r="CG236" i="28"/>
  <c r="CH236" i="28"/>
  <c r="CI236" i="28"/>
  <c r="CJ236" i="28"/>
  <c r="CK236" i="28"/>
  <c r="CL236" i="28"/>
  <c r="CM236" i="28"/>
  <c r="CN236" i="28"/>
  <c r="CO236" i="28"/>
  <c r="CP236" i="28"/>
  <c r="CQ236" i="28"/>
  <c r="CR236" i="28"/>
  <c r="CS236" i="28"/>
  <c r="CT236" i="28"/>
  <c r="CU236" i="28"/>
  <c r="CV236" i="28"/>
  <c r="CW236" i="28"/>
  <c r="B237" i="28"/>
  <c r="AA17" i="24" s="1"/>
  <c r="C237" i="28"/>
  <c r="AA18" i="24" s="1"/>
  <c r="D237" i="28"/>
  <c r="AA19" i="24" s="1"/>
  <c r="E237" i="28"/>
  <c r="AA20" i="24" s="1"/>
  <c r="F237" i="28"/>
  <c r="AA21" i="24" s="1"/>
  <c r="G237" i="28"/>
  <c r="AA22" i="24" s="1"/>
  <c r="H237" i="28"/>
  <c r="AA23" i="24" s="1"/>
  <c r="I237" i="28"/>
  <c r="AA24" i="24" s="1"/>
  <c r="J237" i="28"/>
  <c r="AA25" i="24" s="1"/>
  <c r="K237" i="28"/>
  <c r="AA26" i="24" s="1"/>
  <c r="L237" i="28"/>
  <c r="AA27" i="24" s="1"/>
  <c r="M237" i="28"/>
  <c r="AA28" i="24" s="1"/>
  <c r="N237" i="28"/>
  <c r="AA29" i="24" s="1"/>
  <c r="O237" i="28"/>
  <c r="AA30" i="24" s="1"/>
  <c r="P237" i="28"/>
  <c r="AA31" i="24" s="1"/>
  <c r="Q237" i="28"/>
  <c r="AA32" i="24" s="1"/>
  <c r="R237" i="28"/>
  <c r="S237" i="28"/>
  <c r="T237" i="28"/>
  <c r="U237" i="28"/>
  <c r="V237" i="28"/>
  <c r="W237" i="28"/>
  <c r="X237" i="28"/>
  <c r="Y237" i="28"/>
  <c r="Z237" i="28"/>
  <c r="AA237" i="28"/>
  <c r="AB237" i="28"/>
  <c r="AC237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Q237" i="28"/>
  <c r="AR237" i="28"/>
  <c r="AS237" i="28"/>
  <c r="AT237" i="28"/>
  <c r="AU237" i="28"/>
  <c r="AV237" i="28"/>
  <c r="AW237" i="28"/>
  <c r="AX237" i="28"/>
  <c r="AY237" i="28"/>
  <c r="AZ237" i="28"/>
  <c r="BA237" i="28"/>
  <c r="BB237" i="28"/>
  <c r="BC237" i="28"/>
  <c r="AA33" i="24" s="1"/>
  <c r="BD237" i="28"/>
  <c r="AA34" i="24" s="1"/>
  <c r="BE237" i="28"/>
  <c r="BF237" i="28"/>
  <c r="BG237" i="28"/>
  <c r="BH237" i="28"/>
  <c r="BI237" i="28"/>
  <c r="BJ237" i="28"/>
  <c r="BK237" i="28"/>
  <c r="BL237" i="28"/>
  <c r="BM237" i="28"/>
  <c r="BN237" i="28"/>
  <c r="BO237" i="28"/>
  <c r="BP237" i="28"/>
  <c r="BQ237" i="28"/>
  <c r="BR237" i="28"/>
  <c r="BS237" i="28"/>
  <c r="BT237" i="28"/>
  <c r="BU237" i="28"/>
  <c r="BV237" i="28"/>
  <c r="BW237" i="28"/>
  <c r="BX237" i="28"/>
  <c r="BY237" i="28"/>
  <c r="BZ237" i="28"/>
  <c r="CA237" i="28"/>
  <c r="CB237" i="28"/>
  <c r="CC237" i="28"/>
  <c r="CD237" i="28"/>
  <c r="CE237" i="28"/>
  <c r="CF237" i="28"/>
  <c r="CG237" i="28"/>
  <c r="CH237" i="28"/>
  <c r="CI237" i="28"/>
  <c r="CJ237" i="28"/>
  <c r="CK237" i="28"/>
  <c r="CL237" i="28"/>
  <c r="CM237" i="28"/>
  <c r="CN237" i="28"/>
  <c r="CO237" i="28"/>
  <c r="CP237" i="28"/>
  <c r="CQ237" i="28"/>
  <c r="CR237" i="28"/>
  <c r="CS237" i="28"/>
  <c r="CT237" i="28"/>
  <c r="CU237" i="28"/>
  <c r="CV237" i="28"/>
  <c r="CW237" i="28"/>
  <c r="B238" i="28"/>
  <c r="AB17" i="24" s="1"/>
  <c r="C238" i="28"/>
  <c r="AB18" i="24" s="1"/>
  <c r="D238" i="28"/>
  <c r="AB19" i="24" s="1"/>
  <c r="E238" i="28"/>
  <c r="AB20" i="24" s="1"/>
  <c r="F238" i="28"/>
  <c r="AB21" i="24" s="1"/>
  <c r="G238" i="28"/>
  <c r="AB22" i="24" s="1"/>
  <c r="H238" i="28"/>
  <c r="AB23" i="24" s="1"/>
  <c r="I238" i="28"/>
  <c r="AB24" i="24" s="1"/>
  <c r="J238" i="28"/>
  <c r="AB25" i="24" s="1"/>
  <c r="K238" i="28"/>
  <c r="AB26" i="24" s="1"/>
  <c r="L238" i="28"/>
  <c r="AB27" i="24" s="1"/>
  <c r="M238" i="28"/>
  <c r="AB28" i="24" s="1"/>
  <c r="N238" i="28"/>
  <c r="AB29" i="24" s="1"/>
  <c r="O238" i="28"/>
  <c r="AB30" i="24" s="1"/>
  <c r="P238" i="28"/>
  <c r="AB31" i="24" s="1"/>
  <c r="Q238" i="28"/>
  <c r="AB32" i="24" s="1"/>
  <c r="R238" i="28"/>
  <c r="S238" i="28"/>
  <c r="T238" i="28"/>
  <c r="U238" i="28"/>
  <c r="V238" i="28"/>
  <c r="W238" i="28"/>
  <c r="X238" i="28"/>
  <c r="Y238" i="28"/>
  <c r="Z238" i="28"/>
  <c r="AA238" i="28"/>
  <c r="AB238" i="28"/>
  <c r="AC238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Q238" i="28"/>
  <c r="AR238" i="28"/>
  <c r="AS238" i="28"/>
  <c r="AT238" i="28"/>
  <c r="AU238" i="28"/>
  <c r="AV238" i="28"/>
  <c r="AW238" i="28"/>
  <c r="AX238" i="28"/>
  <c r="AY238" i="28"/>
  <c r="AZ238" i="28"/>
  <c r="BA238" i="28"/>
  <c r="BB238" i="28"/>
  <c r="BC238" i="28"/>
  <c r="AB33" i="24" s="1"/>
  <c r="BD238" i="28"/>
  <c r="AB34" i="24" s="1"/>
  <c r="BE238" i="28"/>
  <c r="BF238" i="28"/>
  <c r="BG238" i="28"/>
  <c r="BH238" i="28"/>
  <c r="BI238" i="28"/>
  <c r="BJ238" i="28"/>
  <c r="BK238" i="28"/>
  <c r="BL238" i="28"/>
  <c r="BM238" i="28"/>
  <c r="BN238" i="28"/>
  <c r="BO238" i="28"/>
  <c r="BP238" i="28"/>
  <c r="BQ238" i="28"/>
  <c r="BR238" i="28"/>
  <c r="BS238" i="28"/>
  <c r="BT238" i="28"/>
  <c r="BU238" i="28"/>
  <c r="BV238" i="28"/>
  <c r="BW238" i="28"/>
  <c r="BX238" i="28"/>
  <c r="BY238" i="28"/>
  <c r="BZ238" i="28"/>
  <c r="CA238" i="28"/>
  <c r="CB238" i="28"/>
  <c r="CC238" i="28"/>
  <c r="CD238" i="28"/>
  <c r="CE238" i="28"/>
  <c r="CF238" i="28"/>
  <c r="CG238" i="28"/>
  <c r="CH238" i="28"/>
  <c r="CI238" i="28"/>
  <c r="CJ238" i="28"/>
  <c r="CK238" i="28"/>
  <c r="CL238" i="28"/>
  <c r="CM238" i="28"/>
  <c r="CN238" i="28"/>
  <c r="CO238" i="28"/>
  <c r="CP238" i="28"/>
  <c r="CQ238" i="28"/>
  <c r="CR238" i="28"/>
  <c r="CS238" i="28"/>
  <c r="CT238" i="28"/>
  <c r="CU238" i="28"/>
  <c r="CV238" i="28"/>
  <c r="CW238" i="28"/>
  <c r="B240" i="28"/>
  <c r="AK17" i="24" s="1"/>
  <c r="C240" i="28"/>
  <c r="AK18" i="24" s="1"/>
  <c r="D240" i="28"/>
  <c r="AK19" i="24" s="1"/>
  <c r="E240" i="28"/>
  <c r="AK20" i="24" s="1"/>
  <c r="F240" i="28"/>
  <c r="AK21" i="24" s="1"/>
  <c r="G240" i="28"/>
  <c r="AK22" i="24" s="1"/>
  <c r="H240" i="28"/>
  <c r="AK23" i="24" s="1"/>
  <c r="I240" i="28"/>
  <c r="AK24" i="24" s="1"/>
  <c r="J240" i="28"/>
  <c r="AK25" i="24" s="1"/>
  <c r="K240" i="28"/>
  <c r="AK26" i="24" s="1"/>
  <c r="L240" i="28"/>
  <c r="AK27" i="24" s="1"/>
  <c r="M240" i="28"/>
  <c r="AK28" i="24" s="1"/>
  <c r="N240" i="28"/>
  <c r="AK29" i="24" s="1"/>
  <c r="O240" i="28"/>
  <c r="AK30" i="24" s="1"/>
  <c r="P240" i="28"/>
  <c r="AK31" i="24" s="1"/>
  <c r="Q240" i="28"/>
  <c r="AK32" i="24" s="1"/>
  <c r="R240" i="28"/>
  <c r="S240" i="28"/>
  <c r="T240" i="28"/>
  <c r="U240" i="28"/>
  <c r="V240" i="28"/>
  <c r="W240" i="28"/>
  <c r="X240" i="28"/>
  <c r="Y240" i="28"/>
  <c r="Z240" i="28"/>
  <c r="AA240" i="28"/>
  <c r="AB240" i="28"/>
  <c r="AC240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Q240" i="28"/>
  <c r="AR240" i="28"/>
  <c r="AS240" i="28"/>
  <c r="AT240" i="28"/>
  <c r="AU240" i="28"/>
  <c r="AV240" i="28"/>
  <c r="AW240" i="28"/>
  <c r="AX240" i="28"/>
  <c r="AY240" i="28"/>
  <c r="AZ240" i="28"/>
  <c r="BA240" i="28"/>
  <c r="BB240" i="28"/>
  <c r="BC240" i="28"/>
  <c r="AK33" i="24" s="1"/>
  <c r="BD240" i="28"/>
  <c r="AK34" i="24" s="1"/>
  <c r="BE240" i="28"/>
  <c r="BF240" i="28"/>
  <c r="BG240" i="28"/>
  <c r="BH240" i="28"/>
  <c r="BI240" i="28"/>
  <c r="BJ240" i="28"/>
  <c r="BK240" i="28"/>
  <c r="BL240" i="28"/>
  <c r="BM240" i="28"/>
  <c r="BN240" i="28"/>
  <c r="BO240" i="28"/>
  <c r="BP240" i="28"/>
  <c r="BQ240" i="28"/>
  <c r="BR240" i="28"/>
  <c r="BS240" i="28"/>
  <c r="BT240" i="28"/>
  <c r="BU240" i="28"/>
  <c r="BV240" i="28"/>
  <c r="BW240" i="28"/>
  <c r="BX240" i="28"/>
  <c r="BY240" i="28"/>
  <c r="BZ240" i="28"/>
  <c r="CA240" i="28"/>
  <c r="CB240" i="28"/>
  <c r="CC240" i="28"/>
  <c r="CD240" i="28"/>
  <c r="CE240" i="28"/>
  <c r="CF240" i="28"/>
  <c r="CG240" i="28"/>
  <c r="CH240" i="28"/>
  <c r="CI240" i="28"/>
  <c r="CJ240" i="28"/>
  <c r="CK240" i="28"/>
  <c r="CL240" i="28"/>
  <c r="CM240" i="28"/>
  <c r="CN240" i="28"/>
  <c r="CO240" i="28"/>
  <c r="CP240" i="28"/>
  <c r="CQ240" i="28"/>
  <c r="CR240" i="28"/>
  <c r="CS240" i="28"/>
  <c r="CT240" i="28"/>
  <c r="CU240" i="28"/>
  <c r="CV240" i="28"/>
  <c r="CW240" i="28"/>
  <c r="B241" i="28"/>
  <c r="AL17" i="24" s="1"/>
  <c r="C241" i="28"/>
  <c r="AL18" i="24" s="1"/>
  <c r="D241" i="28"/>
  <c r="AL19" i="24" s="1"/>
  <c r="E241" i="28"/>
  <c r="AL20" i="24" s="1"/>
  <c r="F241" i="28"/>
  <c r="AL21" i="24" s="1"/>
  <c r="G241" i="28"/>
  <c r="AL22" i="24" s="1"/>
  <c r="H241" i="28"/>
  <c r="AL23" i="24" s="1"/>
  <c r="I241" i="28"/>
  <c r="AL24" i="24" s="1"/>
  <c r="J241" i="28"/>
  <c r="AL25" i="24" s="1"/>
  <c r="K241" i="28"/>
  <c r="AL26" i="24" s="1"/>
  <c r="L241" i="28"/>
  <c r="AL27" i="24" s="1"/>
  <c r="M241" i="28"/>
  <c r="AL28" i="24" s="1"/>
  <c r="N241" i="28"/>
  <c r="AL29" i="24" s="1"/>
  <c r="O241" i="28"/>
  <c r="AL30" i="24" s="1"/>
  <c r="P241" i="28"/>
  <c r="AL31" i="24" s="1"/>
  <c r="Q241" i="28"/>
  <c r="AL32" i="24" s="1"/>
  <c r="R241" i="28"/>
  <c r="S241" i="28"/>
  <c r="T241" i="28"/>
  <c r="U241" i="28"/>
  <c r="V241" i="28"/>
  <c r="W241" i="28"/>
  <c r="X241" i="28"/>
  <c r="Y241" i="28"/>
  <c r="Z241" i="28"/>
  <c r="AA241" i="28"/>
  <c r="AB241" i="28"/>
  <c r="AC241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Q241" i="28"/>
  <c r="AR241" i="28"/>
  <c r="AS241" i="28"/>
  <c r="AT241" i="28"/>
  <c r="AU241" i="28"/>
  <c r="AV241" i="28"/>
  <c r="AW241" i="28"/>
  <c r="AX241" i="28"/>
  <c r="AY241" i="28"/>
  <c r="AZ241" i="28"/>
  <c r="BA241" i="28"/>
  <c r="BB241" i="28"/>
  <c r="BC241" i="28"/>
  <c r="AL33" i="24" s="1"/>
  <c r="BD241" i="28"/>
  <c r="AL34" i="24" s="1"/>
  <c r="BE241" i="28"/>
  <c r="BF241" i="28"/>
  <c r="BG241" i="28"/>
  <c r="BH241" i="28"/>
  <c r="BI241" i="28"/>
  <c r="BJ241" i="28"/>
  <c r="BK241" i="28"/>
  <c r="BL241" i="28"/>
  <c r="BM241" i="28"/>
  <c r="BN241" i="28"/>
  <c r="BO241" i="28"/>
  <c r="BP241" i="28"/>
  <c r="BQ241" i="28"/>
  <c r="BR241" i="28"/>
  <c r="BS241" i="28"/>
  <c r="BT241" i="28"/>
  <c r="BU241" i="28"/>
  <c r="BV241" i="28"/>
  <c r="BW241" i="28"/>
  <c r="BX241" i="28"/>
  <c r="BY241" i="28"/>
  <c r="BZ241" i="28"/>
  <c r="CA241" i="28"/>
  <c r="CB241" i="28"/>
  <c r="CC241" i="28"/>
  <c r="CD241" i="28"/>
  <c r="CE241" i="28"/>
  <c r="CF241" i="28"/>
  <c r="CG241" i="28"/>
  <c r="CH241" i="28"/>
  <c r="CI241" i="28"/>
  <c r="CJ241" i="28"/>
  <c r="CK241" i="28"/>
  <c r="CL241" i="28"/>
  <c r="CM241" i="28"/>
  <c r="CN241" i="28"/>
  <c r="CO241" i="28"/>
  <c r="CP241" i="28"/>
  <c r="CQ241" i="28"/>
  <c r="CR241" i="28"/>
  <c r="CS241" i="28"/>
  <c r="CT241" i="28"/>
  <c r="CU241" i="28"/>
  <c r="CV241" i="28"/>
  <c r="CW241" i="28"/>
  <c r="B242" i="28"/>
  <c r="AC17" i="24" s="1"/>
  <c r="C242" i="28"/>
  <c r="AC18" i="24" s="1"/>
  <c r="D242" i="28"/>
  <c r="AC19" i="24" s="1"/>
  <c r="E242" i="28"/>
  <c r="AC20" i="24" s="1"/>
  <c r="F242" i="28"/>
  <c r="AC21" i="24" s="1"/>
  <c r="G242" i="28"/>
  <c r="AC22" i="24" s="1"/>
  <c r="H242" i="28"/>
  <c r="AC23" i="24" s="1"/>
  <c r="I242" i="28"/>
  <c r="AC24" i="24" s="1"/>
  <c r="J242" i="28"/>
  <c r="AC25" i="24" s="1"/>
  <c r="K242" i="28"/>
  <c r="AC26" i="24" s="1"/>
  <c r="L242" i="28"/>
  <c r="AC27" i="24" s="1"/>
  <c r="M242" i="28"/>
  <c r="AC28" i="24" s="1"/>
  <c r="N242" i="28"/>
  <c r="AC29" i="24" s="1"/>
  <c r="O242" i="28"/>
  <c r="AC30" i="24" s="1"/>
  <c r="P242" i="28"/>
  <c r="AC31" i="24" s="1"/>
  <c r="Q242" i="28"/>
  <c r="AC32" i="24" s="1"/>
  <c r="R242" i="28"/>
  <c r="S242" i="28"/>
  <c r="T242" i="28"/>
  <c r="U242" i="28"/>
  <c r="V242" i="28"/>
  <c r="W242" i="28"/>
  <c r="X242" i="28"/>
  <c r="Y242" i="28"/>
  <c r="Z242" i="28"/>
  <c r="AA242" i="28"/>
  <c r="AB242" i="28"/>
  <c r="AC242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Q242" i="28"/>
  <c r="AR242" i="28"/>
  <c r="AS242" i="28"/>
  <c r="AT242" i="28"/>
  <c r="AU242" i="28"/>
  <c r="AV242" i="28"/>
  <c r="AW242" i="28"/>
  <c r="AX242" i="28"/>
  <c r="AY242" i="28"/>
  <c r="AZ242" i="28"/>
  <c r="BA242" i="28"/>
  <c r="BB242" i="28"/>
  <c r="BC242" i="28"/>
  <c r="AC33" i="24" s="1"/>
  <c r="BD242" i="28"/>
  <c r="AC34" i="24" s="1"/>
  <c r="BE242" i="28"/>
  <c r="BF242" i="28"/>
  <c r="BG242" i="28"/>
  <c r="BH242" i="28"/>
  <c r="BI242" i="28"/>
  <c r="BJ242" i="28"/>
  <c r="BK242" i="28"/>
  <c r="BL242" i="28"/>
  <c r="BM242" i="28"/>
  <c r="BN242" i="28"/>
  <c r="BO242" i="28"/>
  <c r="BP242" i="28"/>
  <c r="BQ242" i="28"/>
  <c r="BR242" i="28"/>
  <c r="BS242" i="28"/>
  <c r="BT242" i="28"/>
  <c r="BU242" i="28"/>
  <c r="BV242" i="28"/>
  <c r="BW242" i="28"/>
  <c r="BX242" i="28"/>
  <c r="BY242" i="28"/>
  <c r="BZ242" i="28"/>
  <c r="CA242" i="28"/>
  <c r="CB242" i="28"/>
  <c r="CC242" i="28"/>
  <c r="CD242" i="28"/>
  <c r="CE242" i="28"/>
  <c r="CF242" i="28"/>
  <c r="CG242" i="28"/>
  <c r="CH242" i="28"/>
  <c r="CI242" i="28"/>
  <c r="CJ242" i="28"/>
  <c r="CK242" i="28"/>
  <c r="CL242" i="28"/>
  <c r="CM242" i="28"/>
  <c r="CN242" i="28"/>
  <c r="CO242" i="28"/>
  <c r="CP242" i="28"/>
  <c r="CQ242" i="28"/>
  <c r="CR242" i="28"/>
  <c r="CS242" i="28"/>
  <c r="CT242" i="28"/>
  <c r="CU242" i="28"/>
  <c r="CV242" i="28"/>
  <c r="CW242" i="28"/>
  <c r="B243" i="28"/>
  <c r="AD17" i="24" s="1"/>
  <c r="C243" i="28"/>
  <c r="AD18" i="24" s="1"/>
  <c r="D243" i="28"/>
  <c r="AD19" i="24" s="1"/>
  <c r="E243" i="28"/>
  <c r="AD20" i="24" s="1"/>
  <c r="F243" i="28"/>
  <c r="AD21" i="24" s="1"/>
  <c r="G243" i="28"/>
  <c r="AD22" i="24" s="1"/>
  <c r="H243" i="28"/>
  <c r="AD23" i="24" s="1"/>
  <c r="I243" i="28"/>
  <c r="AD24" i="24" s="1"/>
  <c r="J243" i="28"/>
  <c r="AD25" i="24" s="1"/>
  <c r="K243" i="28"/>
  <c r="AD26" i="24" s="1"/>
  <c r="L243" i="28"/>
  <c r="AD27" i="24" s="1"/>
  <c r="M243" i="28"/>
  <c r="AD28" i="24" s="1"/>
  <c r="N243" i="28"/>
  <c r="AD29" i="24" s="1"/>
  <c r="O243" i="28"/>
  <c r="AD30" i="24" s="1"/>
  <c r="P243" i="28"/>
  <c r="AD31" i="24" s="1"/>
  <c r="Q243" i="28"/>
  <c r="AD32" i="24" s="1"/>
  <c r="R243" i="28"/>
  <c r="S243" i="28"/>
  <c r="T243" i="28"/>
  <c r="U243" i="28"/>
  <c r="V243" i="28"/>
  <c r="W243" i="28"/>
  <c r="X243" i="28"/>
  <c r="Y243" i="28"/>
  <c r="Z243" i="28"/>
  <c r="AA243" i="28"/>
  <c r="AB243" i="28"/>
  <c r="AC243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Q243" i="28"/>
  <c r="AR243" i="28"/>
  <c r="AS243" i="28"/>
  <c r="AT243" i="28"/>
  <c r="AU243" i="28"/>
  <c r="AV243" i="28"/>
  <c r="AW243" i="28"/>
  <c r="AX243" i="28"/>
  <c r="AY243" i="28"/>
  <c r="AZ243" i="28"/>
  <c r="BA243" i="28"/>
  <c r="BB243" i="28"/>
  <c r="BC243" i="28"/>
  <c r="AD33" i="24" s="1"/>
  <c r="BD243" i="28"/>
  <c r="AD34" i="24" s="1"/>
  <c r="BE243" i="28"/>
  <c r="BF243" i="28"/>
  <c r="BG243" i="28"/>
  <c r="BH243" i="28"/>
  <c r="BI243" i="28"/>
  <c r="BJ243" i="28"/>
  <c r="BK243" i="28"/>
  <c r="BL243" i="28"/>
  <c r="BM243" i="28"/>
  <c r="BN243" i="28"/>
  <c r="BO243" i="28"/>
  <c r="BP243" i="28"/>
  <c r="BQ243" i="28"/>
  <c r="BR243" i="28"/>
  <c r="BS243" i="28"/>
  <c r="BT243" i="28"/>
  <c r="BU243" i="28"/>
  <c r="BV243" i="28"/>
  <c r="BW243" i="28"/>
  <c r="BX243" i="28"/>
  <c r="BY243" i="28"/>
  <c r="BZ243" i="28"/>
  <c r="CA243" i="28"/>
  <c r="CB243" i="28"/>
  <c r="CC243" i="28"/>
  <c r="CD243" i="28"/>
  <c r="CE243" i="28"/>
  <c r="CF243" i="28"/>
  <c r="CG243" i="28"/>
  <c r="CH243" i="28"/>
  <c r="CI243" i="28"/>
  <c r="CJ243" i="28"/>
  <c r="CK243" i="28"/>
  <c r="CL243" i="28"/>
  <c r="CM243" i="28"/>
  <c r="CN243" i="28"/>
  <c r="CO243" i="28"/>
  <c r="CP243" i="28"/>
  <c r="CQ243" i="28"/>
  <c r="CR243" i="28"/>
  <c r="CS243" i="28"/>
  <c r="CT243" i="28"/>
  <c r="CU243" i="28"/>
  <c r="CV243" i="28"/>
  <c r="CW243" i="28"/>
  <c r="B244" i="28"/>
  <c r="AE17" i="24" s="1"/>
  <c r="C244" i="28"/>
  <c r="AE18" i="24" s="1"/>
  <c r="D244" i="28"/>
  <c r="E244" i="28"/>
  <c r="AE20" i="24" s="1"/>
  <c r="F244" i="28"/>
  <c r="AE21" i="24" s="1"/>
  <c r="G244" i="28"/>
  <c r="AE22" i="24" s="1"/>
  <c r="H244" i="28"/>
  <c r="AE23" i="24" s="1"/>
  <c r="I244" i="28"/>
  <c r="AE24" i="24" s="1"/>
  <c r="J244" i="28"/>
  <c r="AE25" i="24" s="1"/>
  <c r="K244" i="28"/>
  <c r="AE26" i="24" s="1"/>
  <c r="L244" i="28"/>
  <c r="AE27" i="24" s="1"/>
  <c r="M244" i="28"/>
  <c r="AE28" i="24" s="1"/>
  <c r="N244" i="28"/>
  <c r="AE29" i="24" s="1"/>
  <c r="O244" i="28"/>
  <c r="AE30" i="24" s="1"/>
  <c r="P244" i="28"/>
  <c r="AE31" i="24" s="1"/>
  <c r="Q244" i="28"/>
  <c r="AE32" i="24" s="1"/>
  <c r="R244" i="28"/>
  <c r="S244" i="28"/>
  <c r="T244" i="28"/>
  <c r="U244" i="28"/>
  <c r="V244" i="28"/>
  <c r="W244" i="28"/>
  <c r="X244" i="28"/>
  <c r="Y244" i="28"/>
  <c r="Z244" i="28"/>
  <c r="AA244" i="28"/>
  <c r="AB244" i="28"/>
  <c r="AC244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Q244" i="28"/>
  <c r="AR244" i="28"/>
  <c r="AS244" i="28"/>
  <c r="AT244" i="28"/>
  <c r="AU244" i="28"/>
  <c r="AV244" i="28"/>
  <c r="AW244" i="28"/>
  <c r="AX244" i="28"/>
  <c r="AY244" i="28"/>
  <c r="AZ244" i="28"/>
  <c r="BA244" i="28"/>
  <c r="BB244" i="28"/>
  <c r="BC244" i="28"/>
  <c r="AE33" i="24" s="1"/>
  <c r="BD244" i="28"/>
  <c r="AE34" i="24" s="1"/>
  <c r="BE244" i="28"/>
  <c r="BF244" i="28"/>
  <c r="BG244" i="28"/>
  <c r="BH244" i="28"/>
  <c r="BI244" i="28"/>
  <c r="BJ244" i="28"/>
  <c r="BK244" i="28"/>
  <c r="BL244" i="28"/>
  <c r="BM244" i="28"/>
  <c r="BN244" i="28"/>
  <c r="BO244" i="28"/>
  <c r="BP244" i="28"/>
  <c r="BQ244" i="28"/>
  <c r="BR244" i="28"/>
  <c r="BS244" i="28"/>
  <c r="BT244" i="28"/>
  <c r="BU244" i="28"/>
  <c r="BV244" i="28"/>
  <c r="BW244" i="28"/>
  <c r="BX244" i="28"/>
  <c r="BY244" i="28"/>
  <c r="BZ244" i="28"/>
  <c r="CA244" i="28"/>
  <c r="CB244" i="28"/>
  <c r="CC244" i="28"/>
  <c r="CD244" i="28"/>
  <c r="CE244" i="28"/>
  <c r="CF244" i="28"/>
  <c r="CG244" i="28"/>
  <c r="CH244" i="28"/>
  <c r="CI244" i="28"/>
  <c r="CJ244" i="28"/>
  <c r="CK244" i="28"/>
  <c r="CL244" i="28"/>
  <c r="CM244" i="28"/>
  <c r="CN244" i="28"/>
  <c r="CO244" i="28"/>
  <c r="CP244" i="28"/>
  <c r="CQ244" i="28"/>
  <c r="CR244" i="28"/>
  <c r="CS244" i="28"/>
  <c r="CT244" i="28"/>
  <c r="CU244" i="28"/>
  <c r="CV244" i="28"/>
  <c r="CW244" i="28"/>
  <c r="B245" i="28"/>
  <c r="AF17" i="24" s="1"/>
  <c r="C245" i="28"/>
  <c r="AF18" i="24" s="1"/>
  <c r="D245" i="28"/>
  <c r="AF19" i="24" s="1"/>
  <c r="E245" i="28"/>
  <c r="AF20" i="24" s="1"/>
  <c r="F245" i="28"/>
  <c r="AF21" i="24" s="1"/>
  <c r="G245" i="28"/>
  <c r="AF22" i="24" s="1"/>
  <c r="H245" i="28"/>
  <c r="AF23" i="24" s="1"/>
  <c r="I245" i="28"/>
  <c r="AF24" i="24" s="1"/>
  <c r="J245" i="28"/>
  <c r="AF25" i="24" s="1"/>
  <c r="K245" i="28"/>
  <c r="AF26" i="24" s="1"/>
  <c r="L245" i="28"/>
  <c r="AF27" i="24" s="1"/>
  <c r="M245" i="28"/>
  <c r="AF28" i="24" s="1"/>
  <c r="N245" i="28"/>
  <c r="AF29" i="24" s="1"/>
  <c r="O245" i="28"/>
  <c r="AF30" i="24" s="1"/>
  <c r="P245" i="28"/>
  <c r="AF31" i="24" s="1"/>
  <c r="Q245" i="28"/>
  <c r="AF32" i="24" s="1"/>
  <c r="R245" i="28"/>
  <c r="S245" i="28"/>
  <c r="T245" i="28"/>
  <c r="U245" i="28"/>
  <c r="V245" i="28"/>
  <c r="W245" i="28"/>
  <c r="X245" i="28"/>
  <c r="Y245" i="28"/>
  <c r="Z245" i="28"/>
  <c r="AA245" i="28"/>
  <c r="AB245" i="28"/>
  <c r="AC245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Q245" i="28"/>
  <c r="AR245" i="28"/>
  <c r="AS245" i="28"/>
  <c r="AT245" i="28"/>
  <c r="AU245" i="28"/>
  <c r="AV245" i="28"/>
  <c r="AW245" i="28"/>
  <c r="AX245" i="28"/>
  <c r="AY245" i="28"/>
  <c r="AZ245" i="28"/>
  <c r="BA245" i="28"/>
  <c r="BB245" i="28"/>
  <c r="BC245" i="28"/>
  <c r="AF33" i="24" s="1"/>
  <c r="BD245" i="28"/>
  <c r="AF34" i="24" s="1"/>
  <c r="BE245" i="28"/>
  <c r="BF245" i="28"/>
  <c r="BG245" i="28"/>
  <c r="BH245" i="28"/>
  <c r="BI245" i="28"/>
  <c r="BJ245" i="28"/>
  <c r="BK245" i="28"/>
  <c r="BL245" i="28"/>
  <c r="BM245" i="28"/>
  <c r="BN245" i="28"/>
  <c r="BO245" i="28"/>
  <c r="BP245" i="28"/>
  <c r="BQ245" i="28"/>
  <c r="BR245" i="28"/>
  <c r="BS245" i="28"/>
  <c r="BT245" i="28"/>
  <c r="BU245" i="28"/>
  <c r="BV245" i="28"/>
  <c r="BW245" i="28"/>
  <c r="BX245" i="28"/>
  <c r="BY245" i="28"/>
  <c r="BZ245" i="28"/>
  <c r="CA245" i="28"/>
  <c r="CB245" i="28"/>
  <c r="CC245" i="28"/>
  <c r="CD245" i="28"/>
  <c r="CE245" i="28"/>
  <c r="CF245" i="28"/>
  <c r="CG245" i="28"/>
  <c r="CH245" i="28"/>
  <c r="CI245" i="28"/>
  <c r="CJ245" i="28"/>
  <c r="CK245" i="28"/>
  <c r="CL245" i="28"/>
  <c r="CM245" i="28"/>
  <c r="CN245" i="28"/>
  <c r="CO245" i="28"/>
  <c r="CP245" i="28"/>
  <c r="CQ245" i="28"/>
  <c r="CR245" i="28"/>
  <c r="CS245" i="28"/>
  <c r="CT245" i="28"/>
  <c r="CU245" i="28"/>
  <c r="CV245" i="28"/>
  <c r="CW245" i="28"/>
  <c r="B246" i="28"/>
  <c r="AG17" i="24" s="1"/>
  <c r="C246" i="28"/>
  <c r="AG18" i="24" s="1"/>
  <c r="D246" i="28"/>
  <c r="AG19" i="24" s="1"/>
  <c r="E246" i="28"/>
  <c r="AG20" i="24" s="1"/>
  <c r="F246" i="28"/>
  <c r="AG21" i="24" s="1"/>
  <c r="G246" i="28"/>
  <c r="AG22" i="24" s="1"/>
  <c r="H246" i="28"/>
  <c r="AG23" i="24" s="1"/>
  <c r="I246" i="28"/>
  <c r="AG24" i="24" s="1"/>
  <c r="J246" i="28"/>
  <c r="AG25" i="24" s="1"/>
  <c r="K246" i="28"/>
  <c r="AG26" i="24" s="1"/>
  <c r="L246" i="28"/>
  <c r="AG27" i="24" s="1"/>
  <c r="M246" i="28"/>
  <c r="AG28" i="24" s="1"/>
  <c r="N246" i="28"/>
  <c r="AG29" i="24" s="1"/>
  <c r="O246" i="28"/>
  <c r="AG30" i="24" s="1"/>
  <c r="P246" i="28"/>
  <c r="AG31" i="24" s="1"/>
  <c r="Q246" i="28"/>
  <c r="AG32" i="24" s="1"/>
  <c r="R246" i="28"/>
  <c r="S246" i="28"/>
  <c r="T246" i="28"/>
  <c r="U246" i="28"/>
  <c r="V246" i="28"/>
  <c r="W246" i="28"/>
  <c r="X246" i="28"/>
  <c r="Y246" i="28"/>
  <c r="Z246" i="28"/>
  <c r="AA246" i="28"/>
  <c r="AB246" i="28"/>
  <c r="AC246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Q246" i="28"/>
  <c r="AR246" i="28"/>
  <c r="AS246" i="28"/>
  <c r="AT246" i="28"/>
  <c r="AU246" i="28"/>
  <c r="AV246" i="28"/>
  <c r="AW246" i="28"/>
  <c r="AX246" i="28"/>
  <c r="AY246" i="28"/>
  <c r="AZ246" i="28"/>
  <c r="BA246" i="28"/>
  <c r="BB246" i="28"/>
  <c r="BC246" i="28"/>
  <c r="AG33" i="24" s="1"/>
  <c r="BD246" i="28"/>
  <c r="AG34" i="24" s="1"/>
  <c r="BE246" i="28"/>
  <c r="BF246" i="28"/>
  <c r="BG246" i="28"/>
  <c r="BH246" i="28"/>
  <c r="BI246" i="28"/>
  <c r="BJ246" i="28"/>
  <c r="BK246" i="28"/>
  <c r="BL246" i="28"/>
  <c r="BM246" i="28"/>
  <c r="BN246" i="28"/>
  <c r="BO246" i="28"/>
  <c r="BP246" i="28"/>
  <c r="BQ246" i="28"/>
  <c r="BR246" i="28"/>
  <c r="BS246" i="28"/>
  <c r="BT246" i="28"/>
  <c r="BU246" i="28"/>
  <c r="BV246" i="28"/>
  <c r="BW246" i="28"/>
  <c r="BX246" i="28"/>
  <c r="BY246" i="28"/>
  <c r="BZ246" i="28"/>
  <c r="CA246" i="28"/>
  <c r="CB246" i="28"/>
  <c r="CC246" i="28"/>
  <c r="CD246" i="28"/>
  <c r="CE246" i="28"/>
  <c r="CF246" i="28"/>
  <c r="CG246" i="28"/>
  <c r="CH246" i="28"/>
  <c r="CI246" i="28"/>
  <c r="CJ246" i="28"/>
  <c r="CK246" i="28"/>
  <c r="CL246" i="28"/>
  <c r="CM246" i="28"/>
  <c r="CN246" i="28"/>
  <c r="CO246" i="28"/>
  <c r="CP246" i="28"/>
  <c r="CQ246" i="28"/>
  <c r="CR246" i="28"/>
  <c r="CS246" i="28"/>
  <c r="CT246" i="28"/>
  <c r="CU246" i="28"/>
  <c r="CV246" i="28"/>
  <c r="CW246" i="28"/>
  <c r="B247" i="28"/>
  <c r="AH17" i="24" s="1"/>
  <c r="C247" i="28"/>
  <c r="AH18" i="24" s="1"/>
  <c r="D247" i="28"/>
  <c r="AH19" i="24" s="1"/>
  <c r="E247" i="28"/>
  <c r="AH20" i="24" s="1"/>
  <c r="F247" i="28"/>
  <c r="AH21" i="24" s="1"/>
  <c r="G247" i="28"/>
  <c r="AH22" i="24" s="1"/>
  <c r="H247" i="28"/>
  <c r="AH23" i="24" s="1"/>
  <c r="I247" i="28"/>
  <c r="AH24" i="24" s="1"/>
  <c r="J247" i="28"/>
  <c r="AH25" i="24" s="1"/>
  <c r="K247" i="28"/>
  <c r="AH26" i="24" s="1"/>
  <c r="L247" i="28"/>
  <c r="AH27" i="24" s="1"/>
  <c r="M247" i="28"/>
  <c r="AH28" i="24" s="1"/>
  <c r="N247" i="28"/>
  <c r="AH29" i="24" s="1"/>
  <c r="O247" i="28"/>
  <c r="AH30" i="24" s="1"/>
  <c r="P247" i="28"/>
  <c r="AH31" i="24" s="1"/>
  <c r="Q247" i="28"/>
  <c r="AH32" i="24" s="1"/>
  <c r="R247" i="28"/>
  <c r="S247" i="28"/>
  <c r="T247" i="28"/>
  <c r="U247" i="28"/>
  <c r="V247" i="28"/>
  <c r="W247" i="28"/>
  <c r="X247" i="28"/>
  <c r="Y247" i="28"/>
  <c r="Z247" i="28"/>
  <c r="AA247" i="28"/>
  <c r="AB247" i="28"/>
  <c r="AC247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Q247" i="28"/>
  <c r="AR247" i="28"/>
  <c r="AS247" i="28"/>
  <c r="AT247" i="28"/>
  <c r="AU247" i="28"/>
  <c r="AV247" i="28"/>
  <c r="AW247" i="28"/>
  <c r="AX247" i="28"/>
  <c r="AY247" i="28"/>
  <c r="AZ247" i="28"/>
  <c r="BA247" i="28"/>
  <c r="BB247" i="28"/>
  <c r="BC247" i="28"/>
  <c r="AH33" i="24" s="1"/>
  <c r="BD247" i="28"/>
  <c r="AH34" i="24" s="1"/>
  <c r="BE247" i="28"/>
  <c r="BF247" i="28"/>
  <c r="BG247" i="28"/>
  <c r="BH247" i="28"/>
  <c r="BI247" i="28"/>
  <c r="BJ247" i="28"/>
  <c r="BK247" i="28"/>
  <c r="BL247" i="28"/>
  <c r="BM247" i="28"/>
  <c r="BN247" i="28"/>
  <c r="BO247" i="28"/>
  <c r="BP247" i="28"/>
  <c r="BQ247" i="28"/>
  <c r="BR247" i="28"/>
  <c r="BS247" i="28"/>
  <c r="BT247" i="28"/>
  <c r="BU247" i="28"/>
  <c r="BV247" i="28"/>
  <c r="BW247" i="28"/>
  <c r="BX247" i="28"/>
  <c r="BY247" i="28"/>
  <c r="BZ247" i="28"/>
  <c r="CA247" i="28"/>
  <c r="CB247" i="28"/>
  <c r="CC247" i="28"/>
  <c r="CD247" i="28"/>
  <c r="CE247" i="28"/>
  <c r="CF247" i="28"/>
  <c r="CG247" i="28"/>
  <c r="CH247" i="28"/>
  <c r="CI247" i="28"/>
  <c r="CJ247" i="28"/>
  <c r="CK247" i="28"/>
  <c r="CL247" i="28"/>
  <c r="CM247" i="28"/>
  <c r="CN247" i="28"/>
  <c r="CO247" i="28"/>
  <c r="CP247" i="28"/>
  <c r="CQ247" i="28"/>
  <c r="CR247" i="28"/>
  <c r="CS247" i="28"/>
  <c r="CT247" i="28"/>
  <c r="CU247" i="28"/>
  <c r="CV247" i="28"/>
  <c r="CW247" i="28"/>
  <c r="B248" i="28"/>
  <c r="AI17" i="24" s="1"/>
  <c r="C248" i="28"/>
  <c r="AI18" i="24" s="1"/>
  <c r="D248" i="28"/>
  <c r="AI19" i="24" s="1"/>
  <c r="E248" i="28"/>
  <c r="AI20" i="24" s="1"/>
  <c r="F248" i="28"/>
  <c r="AI21" i="24" s="1"/>
  <c r="G248" i="28"/>
  <c r="AI22" i="24" s="1"/>
  <c r="H248" i="28"/>
  <c r="AI23" i="24" s="1"/>
  <c r="I248" i="28"/>
  <c r="AI24" i="24" s="1"/>
  <c r="J248" i="28"/>
  <c r="AI25" i="24" s="1"/>
  <c r="K248" i="28"/>
  <c r="AI26" i="24" s="1"/>
  <c r="L248" i="28"/>
  <c r="AI27" i="24" s="1"/>
  <c r="M248" i="28"/>
  <c r="AI28" i="24" s="1"/>
  <c r="N248" i="28"/>
  <c r="AI29" i="24" s="1"/>
  <c r="O248" i="28"/>
  <c r="AI30" i="24" s="1"/>
  <c r="P248" i="28"/>
  <c r="AI31" i="24" s="1"/>
  <c r="Q248" i="28"/>
  <c r="AI32" i="24" s="1"/>
  <c r="R248" i="28"/>
  <c r="S248" i="28"/>
  <c r="T248" i="28"/>
  <c r="U248" i="28"/>
  <c r="V248" i="28"/>
  <c r="W248" i="28"/>
  <c r="X248" i="28"/>
  <c r="Y248" i="28"/>
  <c r="Z248" i="28"/>
  <c r="AA248" i="28"/>
  <c r="AB248" i="28"/>
  <c r="AC248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Q248" i="28"/>
  <c r="AR248" i="28"/>
  <c r="AS248" i="28"/>
  <c r="AT248" i="28"/>
  <c r="AU248" i="28"/>
  <c r="AV248" i="28"/>
  <c r="AW248" i="28"/>
  <c r="AX248" i="28"/>
  <c r="AY248" i="28"/>
  <c r="AZ248" i="28"/>
  <c r="BA248" i="28"/>
  <c r="BB248" i="28"/>
  <c r="BC248" i="28"/>
  <c r="AI33" i="24" s="1"/>
  <c r="BD248" i="28"/>
  <c r="AI34" i="24" s="1"/>
  <c r="BE248" i="28"/>
  <c r="BF248" i="28"/>
  <c r="BG248" i="28"/>
  <c r="BH248" i="28"/>
  <c r="BI248" i="28"/>
  <c r="BJ248" i="28"/>
  <c r="BK248" i="28"/>
  <c r="BL248" i="28"/>
  <c r="BM248" i="28"/>
  <c r="BN248" i="28"/>
  <c r="BO248" i="28"/>
  <c r="BP248" i="28"/>
  <c r="BQ248" i="28"/>
  <c r="BR248" i="28"/>
  <c r="BS248" i="28"/>
  <c r="BT248" i="28"/>
  <c r="BU248" i="28"/>
  <c r="BV248" i="28"/>
  <c r="BW248" i="28"/>
  <c r="BX248" i="28"/>
  <c r="BY248" i="28"/>
  <c r="BZ248" i="28"/>
  <c r="CA248" i="28"/>
  <c r="CB248" i="28"/>
  <c r="CC248" i="28"/>
  <c r="CD248" i="28"/>
  <c r="CE248" i="28"/>
  <c r="CF248" i="28"/>
  <c r="CG248" i="28"/>
  <c r="CH248" i="28"/>
  <c r="CI248" i="28"/>
  <c r="CJ248" i="28"/>
  <c r="CK248" i="28"/>
  <c r="CL248" i="28"/>
  <c r="CM248" i="28"/>
  <c r="CN248" i="28"/>
  <c r="CO248" i="28"/>
  <c r="CP248" i="28"/>
  <c r="CQ248" i="28"/>
  <c r="CR248" i="28"/>
  <c r="CS248" i="28"/>
  <c r="CT248" i="28"/>
  <c r="CU248" i="28"/>
  <c r="CV248" i="28"/>
  <c r="CW248" i="28"/>
  <c r="B249" i="28"/>
  <c r="AJ17" i="24" s="1"/>
  <c r="C249" i="28"/>
  <c r="AJ18" i="24" s="1"/>
  <c r="D249" i="28"/>
  <c r="AJ19" i="24" s="1"/>
  <c r="E249" i="28"/>
  <c r="AJ20" i="24" s="1"/>
  <c r="F249" i="28"/>
  <c r="AJ21" i="24" s="1"/>
  <c r="G249" i="28"/>
  <c r="AJ22" i="24" s="1"/>
  <c r="H249" i="28"/>
  <c r="AJ23" i="24" s="1"/>
  <c r="I249" i="28"/>
  <c r="AJ24" i="24" s="1"/>
  <c r="J249" i="28"/>
  <c r="AJ25" i="24" s="1"/>
  <c r="K249" i="28"/>
  <c r="AJ26" i="24" s="1"/>
  <c r="L249" i="28"/>
  <c r="AJ27" i="24" s="1"/>
  <c r="M249" i="28"/>
  <c r="AJ28" i="24" s="1"/>
  <c r="N249" i="28"/>
  <c r="AJ29" i="24" s="1"/>
  <c r="O249" i="28"/>
  <c r="AJ30" i="24" s="1"/>
  <c r="P249" i="28"/>
  <c r="Q249" i="28"/>
  <c r="AJ32" i="24" s="1"/>
  <c r="R249" i="28"/>
  <c r="S249" i="28"/>
  <c r="T249" i="28"/>
  <c r="U249" i="28"/>
  <c r="V249" i="28"/>
  <c r="W249" i="28"/>
  <c r="X249" i="28"/>
  <c r="Y249" i="28"/>
  <c r="Z249" i="28"/>
  <c r="AA249" i="28"/>
  <c r="AB249" i="28"/>
  <c r="AC249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Q249" i="28"/>
  <c r="AR249" i="28"/>
  <c r="AS249" i="28"/>
  <c r="AT249" i="28"/>
  <c r="AU249" i="28"/>
  <c r="AV249" i="28"/>
  <c r="AW249" i="28"/>
  <c r="AX249" i="28"/>
  <c r="AY249" i="28"/>
  <c r="AZ249" i="28"/>
  <c r="BA249" i="28"/>
  <c r="BB249" i="28"/>
  <c r="BC249" i="28"/>
  <c r="AJ33" i="24" s="1"/>
  <c r="BD249" i="28"/>
  <c r="AJ34" i="24" s="1"/>
  <c r="BE249" i="28"/>
  <c r="BF249" i="28"/>
  <c r="BG249" i="28"/>
  <c r="BH249" i="28"/>
  <c r="BI249" i="28"/>
  <c r="BJ249" i="28"/>
  <c r="BK249" i="28"/>
  <c r="BL249" i="28"/>
  <c r="BM249" i="28"/>
  <c r="BN249" i="28"/>
  <c r="BO249" i="28"/>
  <c r="BP249" i="28"/>
  <c r="BQ249" i="28"/>
  <c r="BR249" i="28"/>
  <c r="BS249" i="28"/>
  <c r="BT249" i="28"/>
  <c r="BU249" i="28"/>
  <c r="BV249" i="28"/>
  <c r="BW249" i="28"/>
  <c r="BX249" i="28"/>
  <c r="BY249" i="28"/>
  <c r="BZ249" i="28"/>
  <c r="CA249" i="28"/>
  <c r="CB249" i="28"/>
  <c r="CC249" i="28"/>
  <c r="CD249" i="28"/>
  <c r="CE249" i="28"/>
  <c r="CF249" i="28"/>
  <c r="CG249" i="28"/>
  <c r="CH249" i="28"/>
  <c r="CI249" i="28"/>
  <c r="CJ249" i="28"/>
  <c r="CK249" i="28"/>
  <c r="CL249" i="28"/>
  <c r="CM249" i="28"/>
  <c r="CN249" i="28"/>
  <c r="CO249" i="28"/>
  <c r="CP249" i="28"/>
  <c r="CQ249" i="28"/>
  <c r="CR249" i="28"/>
  <c r="CS249" i="28"/>
  <c r="CT249" i="28"/>
  <c r="CU249" i="28"/>
  <c r="CV249" i="28"/>
  <c r="CW249" i="28"/>
  <c r="B256" i="28"/>
  <c r="C256" i="28"/>
  <c r="D256" i="28"/>
  <c r="E256" i="28"/>
  <c r="F256" i="28"/>
  <c r="G256" i="28"/>
  <c r="H256" i="28"/>
  <c r="I256" i="28"/>
  <c r="B260" i="28"/>
  <c r="C260" i="28"/>
  <c r="D260" i="28"/>
  <c r="E260" i="28"/>
  <c r="F260" i="28"/>
  <c r="G260" i="28"/>
  <c r="H260" i="28"/>
  <c r="I260" i="28"/>
  <c r="B264" i="28"/>
  <c r="C264" i="28"/>
  <c r="D264" i="28"/>
  <c r="E264" i="28"/>
  <c r="F264" i="28"/>
  <c r="G264" i="28"/>
  <c r="H264" i="28"/>
  <c r="I264" i="28"/>
  <c r="B268" i="28"/>
  <c r="C268" i="28"/>
  <c r="D268" i="28"/>
  <c r="E268" i="28"/>
  <c r="F268" i="28"/>
  <c r="G268" i="28"/>
  <c r="H268" i="28"/>
  <c r="I268" i="28"/>
  <c r="B272" i="28"/>
  <c r="C272" i="28"/>
  <c r="D272" i="28"/>
  <c r="E272" i="28"/>
  <c r="F272" i="28"/>
  <c r="G272" i="28"/>
  <c r="H272" i="28"/>
  <c r="I272" i="28"/>
  <c r="B276" i="28"/>
  <c r="C276" i="28"/>
  <c r="D276" i="28"/>
  <c r="E276" i="28"/>
  <c r="F276" i="28"/>
  <c r="G276" i="28"/>
  <c r="H276" i="28"/>
  <c r="I276" i="28"/>
  <c r="B280" i="28"/>
  <c r="C280" i="28"/>
  <c r="D280" i="28"/>
  <c r="E280" i="28"/>
  <c r="F280" i="28"/>
  <c r="G280" i="28"/>
  <c r="H280" i="28"/>
  <c r="I280" i="28"/>
  <c r="B284" i="28"/>
  <c r="C284" i="28"/>
  <c r="D284" i="28"/>
  <c r="E284" i="28"/>
  <c r="F284" i="28"/>
  <c r="G284" i="28"/>
  <c r="H284" i="28"/>
  <c r="I284" i="28"/>
  <c r="B291" i="28"/>
  <c r="C291" i="28"/>
  <c r="D291" i="28"/>
  <c r="E291" i="28"/>
  <c r="F291" i="28"/>
  <c r="W11" i="32" s="1"/>
  <c r="G291" i="28"/>
  <c r="W13" i="32" s="1"/>
  <c r="H291" i="28"/>
  <c r="W15" i="32" s="1"/>
  <c r="I291" i="28"/>
  <c r="W17" i="32" s="1"/>
  <c r="J291" i="28"/>
  <c r="K291" i="28"/>
  <c r="W21" i="32" s="1"/>
  <c r="L291" i="28"/>
  <c r="W23" i="32" s="1"/>
  <c r="M291" i="28"/>
  <c r="W25" i="32" s="1"/>
  <c r="N291" i="28"/>
  <c r="W27" i="32" s="1"/>
  <c r="O291" i="28"/>
  <c r="W29" i="32" s="1"/>
  <c r="P291" i="28"/>
  <c r="W31" i="32" s="1"/>
  <c r="Q291" i="28"/>
  <c r="W33" i="32" s="1"/>
  <c r="R291" i="28"/>
  <c r="W35" i="32" s="1"/>
  <c r="S291" i="28"/>
  <c r="W37" i="32" s="1"/>
  <c r="T291" i="28"/>
  <c r="U291" i="28"/>
  <c r="V291" i="28"/>
  <c r="W291" i="28"/>
  <c r="X291" i="28"/>
  <c r="Y291" i="28"/>
  <c r="Z291" i="28"/>
  <c r="AA291" i="28"/>
  <c r="AB291" i="28"/>
  <c r="AC291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Q291" i="28"/>
  <c r="AR291" i="28"/>
  <c r="AS291" i="28"/>
  <c r="AT291" i="28"/>
  <c r="AU291" i="28"/>
  <c r="AV291" i="28"/>
  <c r="AW291" i="28"/>
  <c r="AX291" i="28"/>
  <c r="AY291" i="28"/>
  <c r="AZ291" i="28"/>
  <c r="BA291" i="28"/>
  <c r="BB291" i="28"/>
  <c r="BC291" i="28"/>
  <c r="BD291" i="28"/>
  <c r="BE291" i="28"/>
  <c r="BF291" i="28"/>
  <c r="BG291" i="28"/>
  <c r="BH291" i="28"/>
  <c r="BI291" i="28"/>
  <c r="BJ291" i="28"/>
  <c r="BK291" i="28"/>
  <c r="BL291" i="28"/>
  <c r="BM291" i="28"/>
  <c r="BN291" i="28"/>
  <c r="BO291" i="28"/>
  <c r="BP291" i="28"/>
  <c r="BQ291" i="28"/>
  <c r="BR291" i="28"/>
  <c r="BS291" i="28"/>
  <c r="BT291" i="28"/>
  <c r="BU291" i="28"/>
  <c r="BV291" i="28"/>
  <c r="BW291" i="28"/>
  <c r="BX291" i="28"/>
  <c r="BY291" i="28"/>
  <c r="BZ291" i="28"/>
  <c r="CA291" i="28"/>
  <c r="CB291" i="28"/>
  <c r="CC291" i="28"/>
  <c r="CD291" i="28"/>
  <c r="CE291" i="28"/>
  <c r="CF291" i="28"/>
  <c r="CG291" i="28"/>
  <c r="CH291" i="28"/>
  <c r="CI291" i="28"/>
  <c r="CJ291" i="28"/>
  <c r="CK291" i="28"/>
  <c r="CL291" i="28"/>
  <c r="CM291" i="28"/>
  <c r="CN291" i="28"/>
  <c r="CO291" i="28"/>
  <c r="CP291" i="28"/>
  <c r="CQ291" i="28"/>
  <c r="CR291" i="28"/>
  <c r="CS291" i="28"/>
  <c r="CT291" i="28"/>
  <c r="CU291" i="28"/>
  <c r="CV291" i="28"/>
  <c r="CW291" i="28"/>
  <c r="B292" i="28"/>
  <c r="C292" i="28"/>
  <c r="D292" i="28"/>
  <c r="E292" i="28"/>
  <c r="X9" i="32" s="1"/>
  <c r="F292" i="28"/>
  <c r="X11" i="32" s="1"/>
  <c r="G292" i="28"/>
  <c r="X13" i="32" s="1"/>
  <c r="H292" i="28"/>
  <c r="X15" i="32" s="1"/>
  <c r="I292" i="28"/>
  <c r="X17" i="32" s="1"/>
  <c r="J292" i="28"/>
  <c r="K292" i="28"/>
  <c r="X21" i="32" s="1"/>
  <c r="L292" i="28"/>
  <c r="X23" i="32" s="1"/>
  <c r="M292" i="28"/>
  <c r="X25" i="32" s="1"/>
  <c r="N292" i="28"/>
  <c r="X27" i="32" s="1"/>
  <c r="O292" i="28"/>
  <c r="X29" i="32" s="1"/>
  <c r="P292" i="28"/>
  <c r="X31" i="32" s="1"/>
  <c r="Q292" i="28"/>
  <c r="X33" i="32" s="1"/>
  <c r="R292" i="28"/>
  <c r="X35" i="32" s="1"/>
  <c r="S292" i="28"/>
  <c r="X37" i="32" s="1"/>
  <c r="T292" i="28"/>
  <c r="U292" i="28"/>
  <c r="V292" i="28"/>
  <c r="W292" i="28"/>
  <c r="X292" i="28"/>
  <c r="Y292" i="28"/>
  <c r="Z292" i="28"/>
  <c r="AA292" i="28"/>
  <c r="AB292" i="28"/>
  <c r="AC292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Q292" i="28"/>
  <c r="AR292" i="28"/>
  <c r="AS292" i="28"/>
  <c r="AT292" i="28"/>
  <c r="AU292" i="28"/>
  <c r="AV292" i="28"/>
  <c r="AW292" i="28"/>
  <c r="AX292" i="28"/>
  <c r="AY292" i="28"/>
  <c r="AZ292" i="28"/>
  <c r="BA292" i="28"/>
  <c r="BB292" i="28"/>
  <c r="BC292" i="28"/>
  <c r="BD292" i="28"/>
  <c r="BE292" i="28"/>
  <c r="BF292" i="28"/>
  <c r="BG292" i="28"/>
  <c r="BH292" i="28"/>
  <c r="BI292" i="28"/>
  <c r="BJ292" i="28"/>
  <c r="BK292" i="28"/>
  <c r="BL292" i="28"/>
  <c r="BM292" i="28"/>
  <c r="BN292" i="28"/>
  <c r="BO292" i="28"/>
  <c r="BP292" i="28"/>
  <c r="BQ292" i="28"/>
  <c r="BR292" i="28"/>
  <c r="BS292" i="28"/>
  <c r="BT292" i="28"/>
  <c r="BU292" i="28"/>
  <c r="BV292" i="28"/>
  <c r="BW292" i="28"/>
  <c r="BX292" i="28"/>
  <c r="BY292" i="28"/>
  <c r="BZ292" i="28"/>
  <c r="CA292" i="28"/>
  <c r="CB292" i="28"/>
  <c r="CC292" i="28"/>
  <c r="CD292" i="28"/>
  <c r="CE292" i="28"/>
  <c r="CF292" i="28"/>
  <c r="CG292" i="28"/>
  <c r="CH292" i="28"/>
  <c r="CI292" i="28"/>
  <c r="CJ292" i="28"/>
  <c r="CK292" i="28"/>
  <c r="CL292" i="28"/>
  <c r="CM292" i="28"/>
  <c r="CN292" i="28"/>
  <c r="CO292" i="28"/>
  <c r="CP292" i="28"/>
  <c r="CQ292" i="28"/>
  <c r="CR292" i="28"/>
  <c r="CS292" i="28"/>
  <c r="CT292" i="28"/>
  <c r="CU292" i="28"/>
  <c r="CV292" i="28"/>
  <c r="CW292" i="28"/>
  <c r="B293" i="28"/>
  <c r="C293" i="28"/>
  <c r="D293" i="28"/>
  <c r="E293" i="28"/>
  <c r="Y9" i="32" s="1"/>
  <c r="F293" i="28"/>
  <c r="Y11" i="32" s="1"/>
  <c r="G293" i="28"/>
  <c r="Y13" i="32" s="1"/>
  <c r="H293" i="28"/>
  <c r="Y15" i="32" s="1"/>
  <c r="I293" i="28"/>
  <c r="Y17" i="32" s="1"/>
  <c r="J293" i="28"/>
  <c r="K293" i="28"/>
  <c r="Y21" i="32" s="1"/>
  <c r="L293" i="28"/>
  <c r="Y23" i="32" s="1"/>
  <c r="M293" i="28"/>
  <c r="Y25" i="32" s="1"/>
  <c r="N293" i="28"/>
  <c r="Y27" i="32" s="1"/>
  <c r="O293" i="28"/>
  <c r="Y29" i="32" s="1"/>
  <c r="P293" i="28"/>
  <c r="Y31" i="32" s="1"/>
  <c r="Q293" i="28"/>
  <c r="Y33" i="32" s="1"/>
  <c r="R293" i="28"/>
  <c r="Y35" i="32" s="1"/>
  <c r="S293" i="28"/>
  <c r="Y37" i="32" s="1"/>
  <c r="T293" i="28"/>
  <c r="U293" i="28"/>
  <c r="V293" i="28"/>
  <c r="W293" i="28"/>
  <c r="X293" i="28"/>
  <c r="Y293" i="28"/>
  <c r="Z293" i="28"/>
  <c r="AA293" i="28"/>
  <c r="AB293" i="28"/>
  <c r="AC293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Q293" i="28"/>
  <c r="AR293" i="28"/>
  <c r="AS293" i="28"/>
  <c r="AT293" i="28"/>
  <c r="AU293" i="28"/>
  <c r="AV293" i="28"/>
  <c r="AW293" i="28"/>
  <c r="AX293" i="28"/>
  <c r="AY293" i="28"/>
  <c r="AZ293" i="28"/>
  <c r="BA293" i="28"/>
  <c r="BB293" i="28"/>
  <c r="BC293" i="28"/>
  <c r="BD293" i="28"/>
  <c r="BE293" i="28"/>
  <c r="BF293" i="28"/>
  <c r="BG293" i="28"/>
  <c r="BH293" i="28"/>
  <c r="BI293" i="28"/>
  <c r="BJ293" i="28"/>
  <c r="BK293" i="28"/>
  <c r="BL293" i="28"/>
  <c r="BM293" i="28"/>
  <c r="BN293" i="28"/>
  <c r="BO293" i="28"/>
  <c r="BP293" i="28"/>
  <c r="BQ293" i="28"/>
  <c r="BR293" i="28"/>
  <c r="BS293" i="28"/>
  <c r="BT293" i="28"/>
  <c r="BU293" i="28"/>
  <c r="BV293" i="28"/>
  <c r="BW293" i="28"/>
  <c r="BX293" i="28"/>
  <c r="BY293" i="28"/>
  <c r="BZ293" i="28"/>
  <c r="CA293" i="28"/>
  <c r="CB293" i="28"/>
  <c r="CC293" i="28"/>
  <c r="CD293" i="28"/>
  <c r="CE293" i="28"/>
  <c r="CF293" i="28"/>
  <c r="CG293" i="28"/>
  <c r="CH293" i="28"/>
  <c r="CI293" i="28"/>
  <c r="CJ293" i="28"/>
  <c r="CK293" i="28"/>
  <c r="CL293" i="28"/>
  <c r="CM293" i="28"/>
  <c r="CN293" i="28"/>
  <c r="CO293" i="28"/>
  <c r="CP293" i="28"/>
  <c r="CQ293" i="28"/>
  <c r="CR293" i="28"/>
  <c r="CS293" i="28"/>
  <c r="CT293" i="28"/>
  <c r="CU293" i="28"/>
  <c r="CV293" i="28"/>
  <c r="CW293" i="28"/>
  <c r="B294" i="28"/>
  <c r="C294" i="28"/>
  <c r="D294" i="28"/>
  <c r="E294" i="28"/>
  <c r="Z9" i="32" s="1"/>
  <c r="F294" i="28"/>
  <c r="Z11" i="32" s="1"/>
  <c r="G294" i="28"/>
  <c r="Z13" i="32" s="1"/>
  <c r="H294" i="28"/>
  <c r="Z15" i="32" s="1"/>
  <c r="I294" i="28"/>
  <c r="J294" i="28"/>
  <c r="K294" i="28"/>
  <c r="Z21" i="32" s="1"/>
  <c r="L294" i="28"/>
  <c r="Z23" i="32" s="1"/>
  <c r="M294" i="28"/>
  <c r="Z25" i="32" s="1"/>
  <c r="N294" i="28"/>
  <c r="Z27" i="32" s="1"/>
  <c r="O294" i="28"/>
  <c r="Z29" i="32" s="1"/>
  <c r="P294" i="28"/>
  <c r="Z31" i="32" s="1"/>
  <c r="Q294" i="28"/>
  <c r="Z33" i="32" s="1"/>
  <c r="R294" i="28"/>
  <c r="Z35" i="32" s="1"/>
  <c r="S294" i="28"/>
  <c r="Z37" i="32" s="1"/>
  <c r="T294" i="28"/>
  <c r="U294" i="28"/>
  <c r="V294" i="28"/>
  <c r="W294" i="28"/>
  <c r="X294" i="28"/>
  <c r="Y294" i="28"/>
  <c r="Z294" i="28"/>
  <c r="AA294" i="28"/>
  <c r="AB294" i="28"/>
  <c r="AC294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Q294" i="28"/>
  <c r="AR294" i="28"/>
  <c r="AS294" i="28"/>
  <c r="AT294" i="28"/>
  <c r="AU294" i="28"/>
  <c r="AV294" i="28"/>
  <c r="AW294" i="28"/>
  <c r="AX294" i="28"/>
  <c r="AY294" i="28"/>
  <c r="AZ294" i="28"/>
  <c r="BA294" i="28"/>
  <c r="BB294" i="28"/>
  <c r="BC294" i="28"/>
  <c r="BD294" i="28"/>
  <c r="BE294" i="28"/>
  <c r="BF294" i="28"/>
  <c r="BG294" i="28"/>
  <c r="BH294" i="28"/>
  <c r="BI294" i="28"/>
  <c r="BJ294" i="28"/>
  <c r="BK294" i="28"/>
  <c r="BL294" i="28"/>
  <c r="BM294" i="28"/>
  <c r="BN294" i="28"/>
  <c r="BO294" i="28"/>
  <c r="BP294" i="28"/>
  <c r="BQ294" i="28"/>
  <c r="BR294" i="28"/>
  <c r="BS294" i="28"/>
  <c r="BT294" i="28"/>
  <c r="BU294" i="28"/>
  <c r="BV294" i="28"/>
  <c r="BW294" i="28"/>
  <c r="BX294" i="28"/>
  <c r="BY294" i="28"/>
  <c r="BZ294" i="28"/>
  <c r="CA294" i="28"/>
  <c r="CB294" i="28"/>
  <c r="CC294" i="28"/>
  <c r="CD294" i="28"/>
  <c r="CE294" i="28"/>
  <c r="CF294" i="28"/>
  <c r="CG294" i="28"/>
  <c r="CH294" i="28"/>
  <c r="CI294" i="28"/>
  <c r="CJ294" i="28"/>
  <c r="CK294" i="28"/>
  <c r="CL294" i="28"/>
  <c r="CM294" i="28"/>
  <c r="CN294" i="28"/>
  <c r="CO294" i="28"/>
  <c r="CP294" i="28"/>
  <c r="CQ294" i="28"/>
  <c r="CR294" i="28"/>
  <c r="CS294" i="28"/>
  <c r="CT294" i="28"/>
  <c r="CU294" i="28"/>
  <c r="CV294" i="28"/>
  <c r="CW294" i="28"/>
  <c r="B295" i="28"/>
  <c r="C295" i="28"/>
  <c r="D295" i="28"/>
  <c r="E295" i="28"/>
  <c r="AA9" i="32" s="1"/>
  <c r="F295" i="28"/>
  <c r="AA11" i="32" s="1"/>
  <c r="G295" i="28"/>
  <c r="AA13" i="32" s="1"/>
  <c r="H295" i="28"/>
  <c r="AA15" i="32" s="1"/>
  <c r="I295" i="28"/>
  <c r="AA17" i="32" s="1"/>
  <c r="J295" i="28"/>
  <c r="K295" i="28"/>
  <c r="AA21" i="32" s="1"/>
  <c r="L295" i="28"/>
  <c r="AA23" i="32" s="1"/>
  <c r="M295" i="28"/>
  <c r="AA25" i="32" s="1"/>
  <c r="N295" i="28"/>
  <c r="AA27" i="32" s="1"/>
  <c r="O295" i="28"/>
  <c r="AA29" i="32" s="1"/>
  <c r="P295" i="28"/>
  <c r="AA31" i="32" s="1"/>
  <c r="Q295" i="28"/>
  <c r="AA33" i="32" s="1"/>
  <c r="R295" i="28"/>
  <c r="AA35" i="32" s="1"/>
  <c r="S295" i="28"/>
  <c r="AA37" i="32" s="1"/>
  <c r="T295" i="28"/>
  <c r="U295" i="28"/>
  <c r="V295" i="28"/>
  <c r="W295" i="28"/>
  <c r="X295" i="28"/>
  <c r="Y295" i="28"/>
  <c r="Z295" i="28"/>
  <c r="AA295" i="28"/>
  <c r="AB295" i="28"/>
  <c r="AC295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Q295" i="28"/>
  <c r="AR295" i="28"/>
  <c r="AS295" i="28"/>
  <c r="AT295" i="28"/>
  <c r="AU295" i="28"/>
  <c r="AV295" i="28"/>
  <c r="AW295" i="28"/>
  <c r="AX295" i="28"/>
  <c r="AY295" i="28"/>
  <c r="AZ295" i="28"/>
  <c r="BA295" i="28"/>
  <c r="BB295" i="28"/>
  <c r="BC295" i="28"/>
  <c r="BD295" i="28"/>
  <c r="BE295" i="28"/>
  <c r="BF295" i="28"/>
  <c r="BG295" i="28"/>
  <c r="BH295" i="28"/>
  <c r="BI295" i="28"/>
  <c r="BJ295" i="28"/>
  <c r="BK295" i="28"/>
  <c r="BL295" i="28"/>
  <c r="BM295" i="28"/>
  <c r="BN295" i="28"/>
  <c r="BO295" i="28"/>
  <c r="BP295" i="28"/>
  <c r="BQ295" i="28"/>
  <c r="BR295" i="28"/>
  <c r="BS295" i="28"/>
  <c r="BT295" i="28"/>
  <c r="BU295" i="28"/>
  <c r="BV295" i="28"/>
  <c r="BW295" i="28"/>
  <c r="BX295" i="28"/>
  <c r="BY295" i="28"/>
  <c r="BZ295" i="28"/>
  <c r="CA295" i="28"/>
  <c r="CB295" i="28"/>
  <c r="CC295" i="28"/>
  <c r="CD295" i="28"/>
  <c r="CE295" i="28"/>
  <c r="CF295" i="28"/>
  <c r="CG295" i="28"/>
  <c r="CH295" i="28"/>
  <c r="CI295" i="28"/>
  <c r="CJ295" i="28"/>
  <c r="CK295" i="28"/>
  <c r="CL295" i="28"/>
  <c r="CM295" i="28"/>
  <c r="CN295" i="28"/>
  <c r="CO295" i="28"/>
  <c r="CP295" i="28"/>
  <c r="CQ295" i="28"/>
  <c r="CR295" i="28"/>
  <c r="CS295" i="28"/>
  <c r="CT295" i="28"/>
  <c r="CU295" i="28"/>
  <c r="CV295" i="28"/>
  <c r="CW295" i="28"/>
  <c r="B296" i="28"/>
  <c r="C296" i="28"/>
  <c r="D296" i="28"/>
  <c r="E296" i="28"/>
  <c r="AB9" i="32" s="1"/>
  <c r="F296" i="28"/>
  <c r="AB11" i="32" s="1"/>
  <c r="G296" i="28"/>
  <c r="AB13" i="32" s="1"/>
  <c r="H296" i="28"/>
  <c r="AB15" i="32" s="1"/>
  <c r="I296" i="28"/>
  <c r="AB17" i="32" s="1"/>
  <c r="J296" i="28"/>
  <c r="K296" i="28"/>
  <c r="AB21" i="32" s="1"/>
  <c r="L296" i="28"/>
  <c r="AB23" i="32" s="1"/>
  <c r="M296" i="28"/>
  <c r="AB25" i="32" s="1"/>
  <c r="N296" i="28"/>
  <c r="AB27" i="32" s="1"/>
  <c r="O296" i="28"/>
  <c r="AB29" i="32" s="1"/>
  <c r="P296" i="28"/>
  <c r="AB31" i="32" s="1"/>
  <c r="Q296" i="28"/>
  <c r="AB33" i="32" s="1"/>
  <c r="R296" i="28"/>
  <c r="AB35" i="32" s="1"/>
  <c r="S296" i="28"/>
  <c r="AB37" i="32" s="1"/>
  <c r="T296" i="28"/>
  <c r="U296" i="28"/>
  <c r="V296" i="28"/>
  <c r="W296" i="28"/>
  <c r="X296" i="28"/>
  <c r="Y296" i="28"/>
  <c r="Z296" i="28"/>
  <c r="AA296" i="28"/>
  <c r="AB296" i="28"/>
  <c r="AC296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Q296" i="28"/>
  <c r="AR296" i="28"/>
  <c r="AS296" i="28"/>
  <c r="AT296" i="28"/>
  <c r="AU296" i="28"/>
  <c r="AV296" i="28"/>
  <c r="AW296" i="28"/>
  <c r="AX296" i="28"/>
  <c r="AY296" i="28"/>
  <c r="AZ296" i="28"/>
  <c r="BA296" i="28"/>
  <c r="BB296" i="28"/>
  <c r="BC296" i="28"/>
  <c r="BD296" i="28"/>
  <c r="BE296" i="28"/>
  <c r="BF296" i="28"/>
  <c r="BG296" i="28"/>
  <c r="BH296" i="28"/>
  <c r="BI296" i="28"/>
  <c r="BJ296" i="28"/>
  <c r="BK296" i="28"/>
  <c r="BL296" i="28"/>
  <c r="BM296" i="28"/>
  <c r="BN296" i="28"/>
  <c r="BO296" i="28"/>
  <c r="BP296" i="28"/>
  <c r="BQ296" i="28"/>
  <c r="BR296" i="28"/>
  <c r="BS296" i="28"/>
  <c r="BT296" i="28"/>
  <c r="BU296" i="28"/>
  <c r="BV296" i="28"/>
  <c r="BW296" i="28"/>
  <c r="BX296" i="28"/>
  <c r="BY296" i="28"/>
  <c r="BZ296" i="28"/>
  <c r="CA296" i="28"/>
  <c r="CB296" i="28"/>
  <c r="CC296" i="28"/>
  <c r="CD296" i="28"/>
  <c r="CE296" i="28"/>
  <c r="CF296" i="28"/>
  <c r="CG296" i="28"/>
  <c r="CH296" i="28"/>
  <c r="CI296" i="28"/>
  <c r="CJ296" i="28"/>
  <c r="CK296" i="28"/>
  <c r="CL296" i="28"/>
  <c r="CM296" i="28"/>
  <c r="CN296" i="28"/>
  <c r="CO296" i="28"/>
  <c r="CP296" i="28"/>
  <c r="CQ296" i="28"/>
  <c r="CR296" i="28"/>
  <c r="CS296" i="28"/>
  <c r="CT296" i="28"/>
  <c r="CU296" i="28"/>
  <c r="CV296" i="28"/>
  <c r="CW296" i="28"/>
  <c r="B297" i="28"/>
  <c r="C297" i="28"/>
  <c r="D297" i="28"/>
  <c r="E297" i="28"/>
  <c r="AC9" i="32" s="1"/>
  <c r="F297" i="28"/>
  <c r="AC11" i="32" s="1"/>
  <c r="G297" i="28"/>
  <c r="AC13" i="32" s="1"/>
  <c r="H297" i="28"/>
  <c r="AC15" i="32" s="1"/>
  <c r="I297" i="28"/>
  <c r="AC17" i="32" s="1"/>
  <c r="J297" i="28"/>
  <c r="K297" i="28"/>
  <c r="AC21" i="32" s="1"/>
  <c r="L297" i="28"/>
  <c r="AC23" i="32" s="1"/>
  <c r="M297" i="28"/>
  <c r="AC25" i="32" s="1"/>
  <c r="N297" i="28"/>
  <c r="AC27" i="32" s="1"/>
  <c r="O297" i="28"/>
  <c r="AC29" i="32" s="1"/>
  <c r="P297" i="28"/>
  <c r="AC31" i="32" s="1"/>
  <c r="Q297" i="28"/>
  <c r="AC33" i="32" s="1"/>
  <c r="R297" i="28"/>
  <c r="AC35" i="32" s="1"/>
  <c r="S297" i="28"/>
  <c r="AC37" i="32" s="1"/>
  <c r="T297" i="28"/>
  <c r="U297" i="28"/>
  <c r="V297" i="28"/>
  <c r="W297" i="28"/>
  <c r="X297" i="28"/>
  <c r="Y297" i="28"/>
  <c r="Z297" i="28"/>
  <c r="AA297" i="28"/>
  <c r="AB297" i="28"/>
  <c r="AC297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Q297" i="28"/>
  <c r="AR297" i="28"/>
  <c r="AS297" i="28"/>
  <c r="AT297" i="28"/>
  <c r="AU297" i="28"/>
  <c r="AV297" i="28"/>
  <c r="AW297" i="28"/>
  <c r="AX297" i="28"/>
  <c r="AY297" i="28"/>
  <c r="AZ297" i="28"/>
  <c r="BA297" i="28"/>
  <c r="BB297" i="28"/>
  <c r="BC297" i="28"/>
  <c r="BD297" i="28"/>
  <c r="BE297" i="28"/>
  <c r="BF297" i="28"/>
  <c r="BG297" i="28"/>
  <c r="BH297" i="28"/>
  <c r="BI297" i="28"/>
  <c r="BJ297" i="28"/>
  <c r="BK297" i="28"/>
  <c r="BL297" i="28"/>
  <c r="BM297" i="28"/>
  <c r="BN297" i="28"/>
  <c r="BO297" i="28"/>
  <c r="BP297" i="28"/>
  <c r="BQ297" i="28"/>
  <c r="BR297" i="28"/>
  <c r="BS297" i="28"/>
  <c r="BT297" i="28"/>
  <c r="BU297" i="28"/>
  <c r="BV297" i="28"/>
  <c r="BW297" i="28"/>
  <c r="BX297" i="28"/>
  <c r="BY297" i="28"/>
  <c r="BZ297" i="28"/>
  <c r="CA297" i="28"/>
  <c r="CB297" i="28"/>
  <c r="CC297" i="28"/>
  <c r="CD297" i="28"/>
  <c r="CE297" i="28"/>
  <c r="CF297" i="28"/>
  <c r="CG297" i="28"/>
  <c r="CH297" i="28"/>
  <c r="CI297" i="28"/>
  <c r="CJ297" i="28"/>
  <c r="CK297" i="28"/>
  <c r="CL297" i="28"/>
  <c r="CM297" i="28"/>
  <c r="CN297" i="28"/>
  <c r="CO297" i="28"/>
  <c r="CP297" i="28"/>
  <c r="CQ297" i="28"/>
  <c r="CR297" i="28"/>
  <c r="CS297" i="28"/>
  <c r="CT297" i="28"/>
  <c r="CU297" i="28"/>
  <c r="CV297" i="28"/>
  <c r="CW297" i="28"/>
  <c r="B298" i="28"/>
  <c r="C298" i="28"/>
  <c r="D298" i="28"/>
  <c r="E298" i="28"/>
  <c r="AD9" i="32" s="1"/>
  <c r="F298" i="28"/>
  <c r="AD11" i="32" s="1"/>
  <c r="G298" i="28"/>
  <c r="AD13" i="32" s="1"/>
  <c r="H298" i="28"/>
  <c r="AD15" i="32" s="1"/>
  <c r="I298" i="28"/>
  <c r="AD17" i="32" s="1"/>
  <c r="J298" i="28"/>
  <c r="AD19" i="32" s="1"/>
  <c r="K298" i="28"/>
  <c r="AD21" i="32" s="1"/>
  <c r="L298" i="28"/>
  <c r="AD23" i="32" s="1"/>
  <c r="M298" i="28"/>
  <c r="AD25" i="32" s="1"/>
  <c r="N298" i="28"/>
  <c r="AD27" i="32" s="1"/>
  <c r="O298" i="28"/>
  <c r="AD29" i="32" s="1"/>
  <c r="P298" i="28"/>
  <c r="AD31" i="32" s="1"/>
  <c r="Q298" i="28"/>
  <c r="AD33" i="32" s="1"/>
  <c r="R298" i="28"/>
  <c r="AD35" i="32" s="1"/>
  <c r="S298" i="28"/>
  <c r="AD37" i="32" s="1"/>
  <c r="T298" i="28"/>
  <c r="U298" i="28"/>
  <c r="V298" i="28"/>
  <c r="W298" i="28"/>
  <c r="X298" i="28"/>
  <c r="Y298" i="28"/>
  <c r="Z298" i="28"/>
  <c r="AA298" i="28"/>
  <c r="AB298" i="28"/>
  <c r="AC298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Q298" i="28"/>
  <c r="AR298" i="28"/>
  <c r="AS298" i="28"/>
  <c r="AT298" i="28"/>
  <c r="AU298" i="28"/>
  <c r="AV298" i="28"/>
  <c r="AW298" i="28"/>
  <c r="AX298" i="28"/>
  <c r="AY298" i="28"/>
  <c r="AZ298" i="28"/>
  <c r="BA298" i="28"/>
  <c r="BB298" i="28"/>
  <c r="BC298" i="28"/>
  <c r="BD298" i="28"/>
  <c r="BE298" i="28"/>
  <c r="BF298" i="28"/>
  <c r="BG298" i="28"/>
  <c r="BH298" i="28"/>
  <c r="BI298" i="28"/>
  <c r="BJ298" i="28"/>
  <c r="BK298" i="28"/>
  <c r="BL298" i="28"/>
  <c r="BM298" i="28"/>
  <c r="BN298" i="28"/>
  <c r="BO298" i="28"/>
  <c r="BP298" i="28"/>
  <c r="BQ298" i="28"/>
  <c r="BR298" i="28"/>
  <c r="BS298" i="28"/>
  <c r="BT298" i="28"/>
  <c r="BU298" i="28"/>
  <c r="BV298" i="28"/>
  <c r="BW298" i="28"/>
  <c r="BX298" i="28"/>
  <c r="BY298" i="28"/>
  <c r="BZ298" i="28"/>
  <c r="CA298" i="28"/>
  <c r="CB298" i="28"/>
  <c r="CC298" i="28"/>
  <c r="CD298" i="28"/>
  <c r="CE298" i="28"/>
  <c r="CF298" i="28"/>
  <c r="CG298" i="28"/>
  <c r="CH298" i="28"/>
  <c r="CI298" i="28"/>
  <c r="CJ298" i="28"/>
  <c r="CK298" i="28"/>
  <c r="CL298" i="28"/>
  <c r="CM298" i="28"/>
  <c r="CN298" i="28"/>
  <c r="CO298" i="28"/>
  <c r="CP298" i="28"/>
  <c r="CQ298" i="28"/>
  <c r="CR298" i="28"/>
  <c r="CS298" i="28"/>
  <c r="CT298" i="28"/>
  <c r="CU298" i="28"/>
  <c r="CV298" i="28"/>
  <c r="CW298" i="28"/>
  <c r="B299" i="28"/>
  <c r="C299" i="28"/>
  <c r="D299" i="28"/>
  <c r="E299" i="28"/>
  <c r="AE9" i="32" s="1"/>
  <c r="F299" i="28"/>
  <c r="AE11" i="32" s="1"/>
  <c r="G299" i="28"/>
  <c r="AE13" i="32" s="1"/>
  <c r="H299" i="28"/>
  <c r="AE15" i="32" s="1"/>
  <c r="I299" i="28"/>
  <c r="AE17" i="32" s="1"/>
  <c r="J299" i="28"/>
  <c r="AE19" i="32" s="1"/>
  <c r="K299" i="28"/>
  <c r="AE21" i="32" s="1"/>
  <c r="L299" i="28"/>
  <c r="AE23" i="32" s="1"/>
  <c r="M299" i="28"/>
  <c r="AE25" i="32" s="1"/>
  <c r="N299" i="28"/>
  <c r="AE27" i="32" s="1"/>
  <c r="O299" i="28"/>
  <c r="AE29" i="32" s="1"/>
  <c r="P299" i="28"/>
  <c r="AE31" i="32" s="1"/>
  <c r="Q299" i="28"/>
  <c r="AE33" i="32" s="1"/>
  <c r="R299" i="28"/>
  <c r="AE35" i="32" s="1"/>
  <c r="S299" i="28"/>
  <c r="AE37" i="32" s="1"/>
  <c r="T299" i="28"/>
  <c r="U299" i="28"/>
  <c r="V299" i="28"/>
  <c r="W299" i="28"/>
  <c r="X299" i="28"/>
  <c r="Y299" i="28"/>
  <c r="Z299" i="28"/>
  <c r="AA299" i="28"/>
  <c r="AB299" i="28"/>
  <c r="AC299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Q299" i="28"/>
  <c r="AR299" i="28"/>
  <c r="AS299" i="28"/>
  <c r="AT299" i="28"/>
  <c r="AU299" i="28"/>
  <c r="AV299" i="28"/>
  <c r="AW299" i="28"/>
  <c r="AX299" i="28"/>
  <c r="AY299" i="28"/>
  <c r="AZ299" i="28"/>
  <c r="BA299" i="28"/>
  <c r="BB299" i="28"/>
  <c r="BC299" i="28"/>
  <c r="BD299" i="28"/>
  <c r="BE299" i="28"/>
  <c r="BF299" i="28"/>
  <c r="BG299" i="28"/>
  <c r="BH299" i="28"/>
  <c r="BI299" i="28"/>
  <c r="BJ299" i="28"/>
  <c r="BK299" i="28"/>
  <c r="BL299" i="28"/>
  <c r="BM299" i="28"/>
  <c r="BN299" i="28"/>
  <c r="BO299" i="28"/>
  <c r="BP299" i="28"/>
  <c r="BQ299" i="28"/>
  <c r="BR299" i="28"/>
  <c r="BS299" i="28"/>
  <c r="BT299" i="28"/>
  <c r="BU299" i="28"/>
  <c r="BV299" i="28"/>
  <c r="BW299" i="28"/>
  <c r="BX299" i="28"/>
  <c r="BY299" i="28"/>
  <c r="BZ299" i="28"/>
  <c r="CA299" i="28"/>
  <c r="CB299" i="28"/>
  <c r="CC299" i="28"/>
  <c r="CD299" i="28"/>
  <c r="CE299" i="28"/>
  <c r="CF299" i="28"/>
  <c r="CG299" i="28"/>
  <c r="CH299" i="28"/>
  <c r="CI299" i="28"/>
  <c r="CJ299" i="28"/>
  <c r="CK299" i="28"/>
  <c r="CL299" i="28"/>
  <c r="CM299" i="28"/>
  <c r="CN299" i="28"/>
  <c r="CO299" i="28"/>
  <c r="CP299" i="28"/>
  <c r="CQ299" i="28"/>
  <c r="CR299" i="28"/>
  <c r="CS299" i="28"/>
  <c r="CT299" i="28"/>
  <c r="CU299" i="28"/>
  <c r="CV299" i="28"/>
  <c r="CW299" i="28"/>
  <c r="B300" i="28"/>
  <c r="C300" i="28"/>
  <c r="D300" i="28"/>
  <c r="E300" i="28"/>
  <c r="AF9" i="32" s="1"/>
  <c r="F300" i="28"/>
  <c r="AF11" i="32" s="1"/>
  <c r="G300" i="28"/>
  <c r="AF13" i="32" s="1"/>
  <c r="H300" i="28"/>
  <c r="AF15" i="32" s="1"/>
  <c r="I300" i="28"/>
  <c r="AF17" i="32" s="1"/>
  <c r="J300" i="28"/>
  <c r="AF19" i="32" s="1"/>
  <c r="K300" i="28"/>
  <c r="AF21" i="32" s="1"/>
  <c r="L300" i="28"/>
  <c r="AF23" i="32" s="1"/>
  <c r="M300" i="28"/>
  <c r="AF25" i="32" s="1"/>
  <c r="N300" i="28"/>
  <c r="AF27" i="32" s="1"/>
  <c r="O300" i="28"/>
  <c r="AF29" i="32" s="1"/>
  <c r="P300" i="28"/>
  <c r="AF31" i="32" s="1"/>
  <c r="Q300" i="28"/>
  <c r="AF33" i="32" s="1"/>
  <c r="R300" i="28"/>
  <c r="AF35" i="32" s="1"/>
  <c r="S300" i="28"/>
  <c r="AF37" i="32" s="1"/>
  <c r="T300" i="28"/>
  <c r="U300" i="28"/>
  <c r="V300" i="28"/>
  <c r="W300" i="28"/>
  <c r="X300" i="28"/>
  <c r="Y300" i="28"/>
  <c r="Z300" i="28"/>
  <c r="AA300" i="28"/>
  <c r="AB300" i="28"/>
  <c r="AC300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Q300" i="28"/>
  <c r="AR300" i="28"/>
  <c r="AS300" i="28"/>
  <c r="AT300" i="28"/>
  <c r="AU300" i="28"/>
  <c r="AV300" i="28"/>
  <c r="AW300" i="28"/>
  <c r="AX300" i="28"/>
  <c r="AY300" i="28"/>
  <c r="AZ300" i="28"/>
  <c r="BA300" i="28"/>
  <c r="BB300" i="28"/>
  <c r="BC300" i="28"/>
  <c r="BD300" i="28"/>
  <c r="BE300" i="28"/>
  <c r="BF300" i="28"/>
  <c r="BG300" i="28"/>
  <c r="BH300" i="28"/>
  <c r="BI300" i="28"/>
  <c r="BJ300" i="28"/>
  <c r="BK300" i="28"/>
  <c r="BL300" i="28"/>
  <c r="BM300" i="28"/>
  <c r="BN300" i="28"/>
  <c r="BO300" i="28"/>
  <c r="BP300" i="28"/>
  <c r="BQ300" i="28"/>
  <c r="BR300" i="28"/>
  <c r="BS300" i="28"/>
  <c r="BT300" i="28"/>
  <c r="BU300" i="28"/>
  <c r="BV300" i="28"/>
  <c r="BW300" i="28"/>
  <c r="BX300" i="28"/>
  <c r="BY300" i="28"/>
  <c r="BZ300" i="28"/>
  <c r="CA300" i="28"/>
  <c r="CB300" i="28"/>
  <c r="CC300" i="28"/>
  <c r="CD300" i="28"/>
  <c r="CE300" i="28"/>
  <c r="CF300" i="28"/>
  <c r="CG300" i="28"/>
  <c r="CH300" i="28"/>
  <c r="CI300" i="28"/>
  <c r="CJ300" i="28"/>
  <c r="CK300" i="28"/>
  <c r="CL300" i="28"/>
  <c r="CM300" i="28"/>
  <c r="CN300" i="28"/>
  <c r="CO300" i="28"/>
  <c r="CP300" i="28"/>
  <c r="CQ300" i="28"/>
  <c r="CR300" i="28"/>
  <c r="CS300" i="28"/>
  <c r="CT300" i="28"/>
  <c r="CU300" i="28"/>
  <c r="CV300" i="28"/>
  <c r="CW300" i="28"/>
  <c r="B301" i="28"/>
  <c r="C301" i="28"/>
  <c r="D301" i="28"/>
  <c r="E301" i="28"/>
  <c r="AG9" i="32" s="1"/>
  <c r="F301" i="28"/>
  <c r="AG11" i="32" s="1"/>
  <c r="G301" i="28"/>
  <c r="AG13" i="32" s="1"/>
  <c r="H301" i="28"/>
  <c r="AG15" i="32" s="1"/>
  <c r="I301" i="28"/>
  <c r="AG17" i="32" s="1"/>
  <c r="J301" i="28"/>
  <c r="AG19" i="32" s="1"/>
  <c r="K301" i="28"/>
  <c r="AG21" i="32" s="1"/>
  <c r="L301" i="28"/>
  <c r="AG23" i="32" s="1"/>
  <c r="M301" i="28"/>
  <c r="AG25" i="32" s="1"/>
  <c r="N301" i="28"/>
  <c r="AG27" i="32" s="1"/>
  <c r="O301" i="28"/>
  <c r="AG29" i="32" s="1"/>
  <c r="P301" i="28"/>
  <c r="AG31" i="32" s="1"/>
  <c r="Q301" i="28"/>
  <c r="AG33" i="32" s="1"/>
  <c r="R301" i="28"/>
  <c r="AG35" i="32" s="1"/>
  <c r="S301" i="28"/>
  <c r="AG37" i="32" s="1"/>
  <c r="T301" i="28"/>
  <c r="U301" i="28"/>
  <c r="V301" i="28"/>
  <c r="W301" i="28"/>
  <c r="X301" i="28"/>
  <c r="Y301" i="28"/>
  <c r="Z301" i="28"/>
  <c r="AA301" i="28"/>
  <c r="AB301" i="28"/>
  <c r="AC301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Q301" i="28"/>
  <c r="AR301" i="28"/>
  <c r="AS301" i="28"/>
  <c r="AT301" i="28"/>
  <c r="AU301" i="28"/>
  <c r="AV301" i="28"/>
  <c r="AW301" i="28"/>
  <c r="AX301" i="28"/>
  <c r="AY301" i="28"/>
  <c r="AZ301" i="28"/>
  <c r="BA301" i="28"/>
  <c r="BB301" i="28"/>
  <c r="BC301" i="28"/>
  <c r="BD301" i="28"/>
  <c r="BE301" i="28"/>
  <c r="BF301" i="28"/>
  <c r="BG301" i="28"/>
  <c r="BH301" i="28"/>
  <c r="BI301" i="28"/>
  <c r="BJ301" i="28"/>
  <c r="BK301" i="28"/>
  <c r="BL301" i="28"/>
  <c r="BM301" i="28"/>
  <c r="BN301" i="28"/>
  <c r="BO301" i="28"/>
  <c r="BP301" i="28"/>
  <c r="BQ301" i="28"/>
  <c r="BR301" i="28"/>
  <c r="BS301" i="28"/>
  <c r="BT301" i="28"/>
  <c r="BU301" i="28"/>
  <c r="BV301" i="28"/>
  <c r="BW301" i="28"/>
  <c r="BX301" i="28"/>
  <c r="BY301" i="28"/>
  <c r="BZ301" i="28"/>
  <c r="CA301" i="28"/>
  <c r="CB301" i="28"/>
  <c r="CC301" i="28"/>
  <c r="CD301" i="28"/>
  <c r="CE301" i="28"/>
  <c r="CF301" i="28"/>
  <c r="CG301" i="28"/>
  <c r="CH301" i="28"/>
  <c r="CI301" i="28"/>
  <c r="CJ301" i="28"/>
  <c r="CK301" i="28"/>
  <c r="CL301" i="28"/>
  <c r="CM301" i="28"/>
  <c r="CN301" i="28"/>
  <c r="CO301" i="28"/>
  <c r="CP301" i="28"/>
  <c r="CQ301" i="28"/>
  <c r="CR301" i="28"/>
  <c r="CS301" i="28"/>
  <c r="CT301" i="28"/>
  <c r="CU301" i="28"/>
  <c r="CV301" i="28"/>
  <c r="CW301" i="28"/>
  <c r="B302" i="28"/>
  <c r="C302" i="28"/>
  <c r="D302" i="28"/>
  <c r="E302" i="28"/>
  <c r="AH9" i="32" s="1"/>
  <c r="F302" i="28"/>
  <c r="AH11" i="32" s="1"/>
  <c r="G302" i="28"/>
  <c r="AH13" i="32" s="1"/>
  <c r="H302" i="28"/>
  <c r="AH15" i="32" s="1"/>
  <c r="I302" i="28"/>
  <c r="AH17" i="32" s="1"/>
  <c r="J302" i="28"/>
  <c r="AH19" i="32" s="1"/>
  <c r="K302" i="28"/>
  <c r="L302" i="28"/>
  <c r="AH23" i="32" s="1"/>
  <c r="M302" i="28"/>
  <c r="AH25" i="32" s="1"/>
  <c r="N302" i="28"/>
  <c r="AH27" i="32" s="1"/>
  <c r="O302" i="28"/>
  <c r="AH29" i="32" s="1"/>
  <c r="P302" i="28"/>
  <c r="AH31" i="32" s="1"/>
  <c r="Q302" i="28"/>
  <c r="AH33" i="32" s="1"/>
  <c r="R302" i="28"/>
  <c r="AH35" i="32" s="1"/>
  <c r="S302" i="28"/>
  <c r="AH37" i="32" s="1"/>
  <c r="T302" i="28"/>
  <c r="U302" i="28"/>
  <c r="V302" i="28"/>
  <c r="W302" i="28"/>
  <c r="X302" i="28"/>
  <c r="Y302" i="28"/>
  <c r="Z302" i="28"/>
  <c r="AA302" i="28"/>
  <c r="AB302" i="28"/>
  <c r="AC302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Q302" i="28"/>
  <c r="AR302" i="28"/>
  <c r="AS302" i="28"/>
  <c r="AT302" i="28"/>
  <c r="AU302" i="28"/>
  <c r="AV302" i="28"/>
  <c r="AW302" i="28"/>
  <c r="AX302" i="28"/>
  <c r="AY302" i="28"/>
  <c r="AZ302" i="28"/>
  <c r="BA302" i="28"/>
  <c r="BB302" i="28"/>
  <c r="BC302" i="28"/>
  <c r="BD302" i="28"/>
  <c r="BE302" i="28"/>
  <c r="BF302" i="28"/>
  <c r="BG302" i="28"/>
  <c r="BH302" i="28"/>
  <c r="BI302" i="28"/>
  <c r="BJ302" i="28"/>
  <c r="BK302" i="28"/>
  <c r="BL302" i="28"/>
  <c r="BM302" i="28"/>
  <c r="BN302" i="28"/>
  <c r="BO302" i="28"/>
  <c r="BP302" i="28"/>
  <c r="BQ302" i="28"/>
  <c r="BR302" i="28"/>
  <c r="BS302" i="28"/>
  <c r="BT302" i="28"/>
  <c r="BU302" i="28"/>
  <c r="BV302" i="28"/>
  <c r="BW302" i="28"/>
  <c r="BX302" i="28"/>
  <c r="BY302" i="28"/>
  <c r="BZ302" i="28"/>
  <c r="CA302" i="28"/>
  <c r="CB302" i="28"/>
  <c r="CC302" i="28"/>
  <c r="CD302" i="28"/>
  <c r="CE302" i="28"/>
  <c r="CF302" i="28"/>
  <c r="CG302" i="28"/>
  <c r="CH302" i="28"/>
  <c r="CI302" i="28"/>
  <c r="CJ302" i="28"/>
  <c r="CK302" i="28"/>
  <c r="CL302" i="28"/>
  <c r="CM302" i="28"/>
  <c r="CN302" i="28"/>
  <c r="CO302" i="28"/>
  <c r="CP302" i="28"/>
  <c r="CQ302" i="28"/>
  <c r="CR302" i="28"/>
  <c r="CS302" i="28"/>
  <c r="CT302" i="28"/>
  <c r="CU302" i="28"/>
  <c r="CV302" i="28"/>
  <c r="CW302" i="28"/>
  <c r="B303" i="28"/>
  <c r="C303" i="28"/>
  <c r="D303" i="28"/>
  <c r="E303" i="28"/>
  <c r="AI9" i="32" s="1"/>
  <c r="F303" i="28"/>
  <c r="AI11" i="32" s="1"/>
  <c r="G303" i="28"/>
  <c r="AI13" i="32" s="1"/>
  <c r="H303" i="28"/>
  <c r="AI15" i="32" s="1"/>
  <c r="I303" i="28"/>
  <c r="AI17" i="32" s="1"/>
  <c r="J303" i="28"/>
  <c r="AI19" i="32" s="1"/>
  <c r="K303" i="28"/>
  <c r="AI21" i="32" s="1"/>
  <c r="L303" i="28"/>
  <c r="AI23" i="32" s="1"/>
  <c r="M303" i="28"/>
  <c r="AI25" i="32" s="1"/>
  <c r="N303" i="28"/>
  <c r="AI27" i="32" s="1"/>
  <c r="O303" i="28"/>
  <c r="AI29" i="32" s="1"/>
  <c r="P303" i="28"/>
  <c r="AI31" i="32" s="1"/>
  <c r="Q303" i="28"/>
  <c r="AI33" i="32" s="1"/>
  <c r="R303" i="28"/>
  <c r="AI35" i="32" s="1"/>
  <c r="S303" i="28"/>
  <c r="AI37" i="32" s="1"/>
  <c r="T303" i="28"/>
  <c r="U303" i="28"/>
  <c r="V303" i="28"/>
  <c r="W303" i="28"/>
  <c r="X303" i="28"/>
  <c r="Y303" i="28"/>
  <c r="Z303" i="28"/>
  <c r="AA303" i="28"/>
  <c r="AB303" i="28"/>
  <c r="AC303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Q303" i="28"/>
  <c r="AR303" i="28"/>
  <c r="AS303" i="28"/>
  <c r="AT303" i="28"/>
  <c r="AU303" i="28"/>
  <c r="AV303" i="28"/>
  <c r="AW303" i="28"/>
  <c r="AX303" i="28"/>
  <c r="AY303" i="28"/>
  <c r="AZ303" i="28"/>
  <c r="BA303" i="28"/>
  <c r="BB303" i="28"/>
  <c r="BC303" i="28"/>
  <c r="BD303" i="28"/>
  <c r="BE303" i="28"/>
  <c r="BF303" i="28"/>
  <c r="BG303" i="28"/>
  <c r="BH303" i="28"/>
  <c r="BI303" i="28"/>
  <c r="BJ303" i="28"/>
  <c r="BK303" i="28"/>
  <c r="BL303" i="28"/>
  <c r="BM303" i="28"/>
  <c r="BN303" i="28"/>
  <c r="BO303" i="28"/>
  <c r="BP303" i="28"/>
  <c r="BQ303" i="28"/>
  <c r="BR303" i="28"/>
  <c r="BS303" i="28"/>
  <c r="BT303" i="28"/>
  <c r="BU303" i="28"/>
  <c r="BV303" i="28"/>
  <c r="BW303" i="28"/>
  <c r="BX303" i="28"/>
  <c r="BY303" i="28"/>
  <c r="BZ303" i="28"/>
  <c r="CA303" i="28"/>
  <c r="CB303" i="28"/>
  <c r="CC303" i="28"/>
  <c r="CD303" i="28"/>
  <c r="CE303" i="28"/>
  <c r="CF303" i="28"/>
  <c r="CG303" i="28"/>
  <c r="CH303" i="28"/>
  <c r="CI303" i="28"/>
  <c r="CJ303" i="28"/>
  <c r="CK303" i="28"/>
  <c r="CL303" i="28"/>
  <c r="CM303" i="28"/>
  <c r="CN303" i="28"/>
  <c r="CO303" i="28"/>
  <c r="CP303" i="28"/>
  <c r="CQ303" i="28"/>
  <c r="CR303" i="28"/>
  <c r="CS303" i="28"/>
  <c r="CT303" i="28"/>
  <c r="CU303" i="28"/>
  <c r="CV303" i="28"/>
  <c r="CW303" i="28"/>
  <c r="B304" i="28"/>
  <c r="C304" i="28"/>
  <c r="D304" i="28"/>
  <c r="E304" i="28"/>
  <c r="AJ9" i="32" s="1"/>
  <c r="F304" i="28"/>
  <c r="AJ11" i="32" s="1"/>
  <c r="G304" i="28"/>
  <c r="AJ13" i="32" s="1"/>
  <c r="H304" i="28"/>
  <c r="AJ15" i="32" s="1"/>
  <c r="I304" i="28"/>
  <c r="AJ17" i="32" s="1"/>
  <c r="J304" i="28"/>
  <c r="AJ19" i="32" s="1"/>
  <c r="K304" i="28"/>
  <c r="AJ21" i="32" s="1"/>
  <c r="L304" i="28"/>
  <c r="AJ23" i="32" s="1"/>
  <c r="M304" i="28"/>
  <c r="AJ25" i="32" s="1"/>
  <c r="N304" i="28"/>
  <c r="AJ27" i="32" s="1"/>
  <c r="O304" i="28"/>
  <c r="AJ29" i="32" s="1"/>
  <c r="P304" i="28"/>
  <c r="AJ31" i="32" s="1"/>
  <c r="Q304" i="28"/>
  <c r="AJ33" i="32" s="1"/>
  <c r="R304" i="28"/>
  <c r="AJ35" i="32" s="1"/>
  <c r="S304" i="28"/>
  <c r="AJ37" i="32" s="1"/>
  <c r="T304" i="28"/>
  <c r="U304" i="28"/>
  <c r="V304" i="28"/>
  <c r="W304" i="28"/>
  <c r="X304" i="28"/>
  <c r="Y304" i="28"/>
  <c r="Z304" i="28"/>
  <c r="AA304" i="28"/>
  <c r="AB304" i="28"/>
  <c r="AC304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Q304" i="28"/>
  <c r="AR304" i="28"/>
  <c r="AS304" i="28"/>
  <c r="AT304" i="28"/>
  <c r="AU304" i="28"/>
  <c r="AV304" i="28"/>
  <c r="AW304" i="28"/>
  <c r="AX304" i="28"/>
  <c r="AY304" i="28"/>
  <c r="AZ304" i="28"/>
  <c r="BA304" i="28"/>
  <c r="BB304" i="28"/>
  <c r="BC304" i="28"/>
  <c r="BD304" i="28"/>
  <c r="BE304" i="28"/>
  <c r="BF304" i="28"/>
  <c r="BG304" i="28"/>
  <c r="BH304" i="28"/>
  <c r="BI304" i="28"/>
  <c r="BJ304" i="28"/>
  <c r="BK304" i="28"/>
  <c r="BL304" i="28"/>
  <c r="BM304" i="28"/>
  <c r="BN304" i="28"/>
  <c r="BO304" i="28"/>
  <c r="BP304" i="28"/>
  <c r="BQ304" i="28"/>
  <c r="BR304" i="28"/>
  <c r="BS304" i="28"/>
  <c r="BT304" i="28"/>
  <c r="BU304" i="28"/>
  <c r="BV304" i="28"/>
  <c r="BW304" i="28"/>
  <c r="BX304" i="28"/>
  <c r="BY304" i="28"/>
  <c r="BZ304" i="28"/>
  <c r="CA304" i="28"/>
  <c r="CB304" i="28"/>
  <c r="CC304" i="28"/>
  <c r="CD304" i="28"/>
  <c r="CE304" i="28"/>
  <c r="CF304" i="28"/>
  <c r="CG304" i="28"/>
  <c r="CH304" i="28"/>
  <c r="CI304" i="28"/>
  <c r="CJ304" i="28"/>
  <c r="CK304" i="28"/>
  <c r="CL304" i="28"/>
  <c r="CM304" i="28"/>
  <c r="CN304" i="28"/>
  <c r="CO304" i="28"/>
  <c r="CP304" i="28"/>
  <c r="CQ304" i="28"/>
  <c r="CR304" i="28"/>
  <c r="CS304" i="28"/>
  <c r="CT304" i="28"/>
  <c r="CU304" i="28"/>
  <c r="CV304" i="28"/>
  <c r="CW304" i="28"/>
  <c r="B305" i="28"/>
  <c r="C305" i="28"/>
  <c r="D305" i="28"/>
  <c r="E305" i="28"/>
  <c r="AK9" i="32" s="1"/>
  <c r="F305" i="28"/>
  <c r="G305" i="28"/>
  <c r="H305" i="28"/>
  <c r="AK15" i="32" s="1"/>
  <c r="I305" i="28"/>
  <c r="AK17" i="32" s="1"/>
  <c r="J305" i="28"/>
  <c r="AK19" i="32" s="1"/>
  <c r="K305" i="28"/>
  <c r="AK21" i="32" s="1"/>
  <c r="L305" i="28"/>
  <c r="AK23" i="32" s="1"/>
  <c r="M305" i="28"/>
  <c r="AK25" i="32" s="1"/>
  <c r="N305" i="28"/>
  <c r="AK27" i="32" s="1"/>
  <c r="O305" i="28"/>
  <c r="AK29" i="32" s="1"/>
  <c r="P305" i="28"/>
  <c r="AK31" i="32" s="1"/>
  <c r="Q305" i="28"/>
  <c r="AK33" i="32" s="1"/>
  <c r="R305" i="28"/>
  <c r="AK35" i="32" s="1"/>
  <c r="S305" i="28"/>
  <c r="AK37" i="32" s="1"/>
  <c r="T305" i="28"/>
  <c r="U305" i="28"/>
  <c r="V305" i="28"/>
  <c r="W305" i="28"/>
  <c r="X305" i="28"/>
  <c r="Y305" i="28"/>
  <c r="Z305" i="28"/>
  <c r="AA305" i="28"/>
  <c r="AB305" i="28"/>
  <c r="AC305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Q305" i="28"/>
  <c r="AR305" i="28"/>
  <c r="AS305" i="28"/>
  <c r="AT305" i="28"/>
  <c r="AU305" i="28"/>
  <c r="AV305" i="28"/>
  <c r="AW305" i="28"/>
  <c r="AX305" i="28"/>
  <c r="AY305" i="28"/>
  <c r="AZ305" i="28"/>
  <c r="BA305" i="28"/>
  <c r="BB305" i="28"/>
  <c r="BC305" i="28"/>
  <c r="BD305" i="28"/>
  <c r="BE305" i="28"/>
  <c r="BF305" i="28"/>
  <c r="BG305" i="28"/>
  <c r="BH305" i="28"/>
  <c r="BI305" i="28"/>
  <c r="BJ305" i="28"/>
  <c r="BK305" i="28"/>
  <c r="BL305" i="28"/>
  <c r="BM305" i="28"/>
  <c r="BN305" i="28"/>
  <c r="BO305" i="28"/>
  <c r="BP305" i="28"/>
  <c r="BQ305" i="28"/>
  <c r="BR305" i="28"/>
  <c r="BS305" i="28"/>
  <c r="BT305" i="28"/>
  <c r="BU305" i="28"/>
  <c r="BV305" i="28"/>
  <c r="BW305" i="28"/>
  <c r="BX305" i="28"/>
  <c r="BY305" i="28"/>
  <c r="BZ305" i="28"/>
  <c r="CA305" i="28"/>
  <c r="CB305" i="28"/>
  <c r="CC305" i="28"/>
  <c r="CD305" i="28"/>
  <c r="CE305" i="28"/>
  <c r="CF305" i="28"/>
  <c r="CG305" i="28"/>
  <c r="CH305" i="28"/>
  <c r="CI305" i="28"/>
  <c r="CJ305" i="28"/>
  <c r="CK305" i="28"/>
  <c r="CL305" i="28"/>
  <c r="CM305" i="28"/>
  <c r="CN305" i="28"/>
  <c r="CO305" i="28"/>
  <c r="CP305" i="28"/>
  <c r="CQ305" i="28"/>
  <c r="CR305" i="28"/>
  <c r="CS305" i="28"/>
  <c r="CT305" i="28"/>
  <c r="CU305" i="28"/>
  <c r="CV305" i="28"/>
  <c r="CW305" i="28"/>
  <c r="B306" i="28"/>
  <c r="C306" i="28"/>
  <c r="D306" i="28"/>
  <c r="E306" i="28"/>
  <c r="AL9" i="32" s="1"/>
  <c r="F306" i="28"/>
  <c r="G306" i="28"/>
  <c r="H306" i="28"/>
  <c r="AL15" i="32" s="1"/>
  <c r="I306" i="28"/>
  <c r="AL17" i="32" s="1"/>
  <c r="J306" i="28"/>
  <c r="AL19" i="32" s="1"/>
  <c r="K306" i="28"/>
  <c r="AL21" i="32" s="1"/>
  <c r="L306" i="28"/>
  <c r="AL23" i="32" s="1"/>
  <c r="M306" i="28"/>
  <c r="AL25" i="32" s="1"/>
  <c r="N306" i="28"/>
  <c r="AL27" i="32" s="1"/>
  <c r="O306" i="28"/>
  <c r="AL29" i="32" s="1"/>
  <c r="P306" i="28"/>
  <c r="AL31" i="32" s="1"/>
  <c r="Q306" i="28"/>
  <c r="AL33" i="32" s="1"/>
  <c r="R306" i="28"/>
  <c r="AL35" i="32" s="1"/>
  <c r="S306" i="28"/>
  <c r="AL37" i="32" s="1"/>
  <c r="T306" i="28"/>
  <c r="U306" i="28"/>
  <c r="V306" i="28"/>
  <c r="W306" i="28"/>
  <c r="X306" i="28"/>
  <c r="Y306" i="28"/>
  <c r="Z306" i="28"/>
  <c r="AA306" i="28"/>
  <c r="AB306" i="28"/>
  <c r="AC306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Q306" i="28"/>
  <c r="AR306" i="28"/>
  <c r="AS306" i="28"/>
  <c r="AT306" i="28"/>
  <c r="AU306" i="28"/>
  <c r="AV306" i="28"/>
  <c r="AW306" i="28"/>
  <c r="AX306" i="28"/>
  <c r="AY306" i="28"/>
  <c r="AZ306" i="28"/>
  <c r="BA306" i="28"/>
  <c r="BB306" i="28"/>
  <c r="BC306" i="28"/>
  <c r="BD306" i="28"/>
  <c r="BE306" i="28"/>
  <c r="BF306" i="28"/>
  <c r="BG306" i="28"/>
  <c r="BH306" i="28"/>
  <c r="BI306" i="28"/>
  <c r="BJ306" i="28"/>
  <c r="BK306" i="28"/>
  <c r="BL306" i="28"/>
  <c r="BM306" i="28"/>
  <c r="BN306" i="28"/>
  <c r="BO306" i="28"/>
  <c r="BP306" i="28"/>
  <c r="BQ306" i="28"/>
  <c r="BR306" i="28"/>
  <c r="BS306" i="28"/>
  <c r="BT306" i="28"/>
  <c r="BU306" i="28"/>
  <c r="BV306" i="28"/>
  <c r="BW306" i="28"/>
  <c r="BX306" i="28"/>
  <c r="BY306" i="28"/>
  <c r="BZ306" i="28"/>
  <c r="CA306" i="28"/>
  <c r="CB306" i="28"/>
  <c r="CC306" i="28"/>
  <c r="CD306" i="28"/>
  <c r="CE306" i="28"/>
  <c r="CF306" i="28"/>
  <c r="CG306" i="28"/>
  <c r="CH306" i="28"/>
  <c r="CI306" i="28"/>
  <c r="CJ306" i="28"/>
  <c r="CK306" i="28"/>
  <c r="CL306" i="28"/>
  <c r="CM306" i="28"/>
  <c r="CN306" i="28"/>
  <c r="CO306" i="28"/>
  <c r="CP306" i="28"/>
  <c r="CQ306" i="28"/>
  <c r="CR306" i="28"/>
  <c r="CS306" i="28"/>
  <c r="CT306" i="28"/>
  <c r="CU306" i="28"/>
  <c r="CV306" i="28"/>
  <c r="CW306" i="28"/>
  <c r="B307" i="28"/>
  <c r="C307" i="28"/>
  <c r="D307" i="28"/>
  <c r="E307" i="28"/>
  <c r="AM9" i="32" s="1"/>
  <c r="F307" i="28"/>
  <c r="G307" i="28"/>
  <c r="H307" i="28"/>
  <c r="AM15" i="32" s="1"/>
  <c r="I307" i="28"/>
  <c r="AM17" i="32" s="1"/>
  <c r="J307" i="28"/>
  <c r="AM19" i="32" s="1"/>
  <c r="K307" i="28"/>
  <c r="AM21" i="32" s="1"/>
  <c r="L307" i="28"/>
  <c r="AM23" i="32" s="1"/>
  <c r="M307" i="28"/>
  <c r="AM25" i="32" s="1"/>
  <c r="N307" i="28"/>
  <c r="AM27" i="32" s="1"/>
  <c r="O307" i="28"/>
  <c r="AM29" i="32" s="1"/>
  <c r="P307" i="28"/>
  <c r="AM31" i="32" s="1"/>
  <c r="Q307" i="28"/>
  <c r="AM33" i="32" s="1"/>
  <c r="R307" i="28"/>
  <c r="AM35" i="32" s="1"/>
  <c r="S307" i="28"/>
  <c r="AM37" i="32" s="1"/>
  <c r="T307" i="28"/>
  <c r="U307" i="28"/>
  <c r="V307" i="28"/>
  <c r="W307" i="28"/>
  <c r="X307" i="28"/>
  <c r="Y307" i="28"/>
  <c r="Z307" i="28"/>
  <c r="AA307" i="28"/>
  <c r="AB307" i="28"/>
  <c r="AC307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Q307" i="28"/>
  <c r="AR307" i="28"/>
  <c r="AS307" i="28"/>
  <c r="AT307" i="28"/>
  <c r="AU307" i="28"/>
  <c r="AV307" i="28"/>
  <c r="AW307" i="28"/>
  <c r="AX307" i="28"/>
  <c r="AY307" i="28"/>
  <c r="AZ307" i="28"/>
  <c r="BA307" i="28"/>
  <c r="BB307" i="28"/>
  <c r="BC307" i="28"/>
  <c r="BD307" i="28"/>
  <c r="BE307" i="28"/>
  <c r="BF307" i="28"/>
  <c r="BG307" i="28"/>
  <c r="BH307" i="28"/>
  <c r="BI307" i="28"/>
  <c r="BJ307" i="28"/>
  <c r="BK307" i="28"/>
  <c r="BL307" i="28"/>
  <c r="BM307" i="28"/>
  <c r="BN307" i="28"/>
  <c r="BO307" i="28"/>
  <c r="BP307" i="28"/>
  <c r="BQ307" i="28"/>
  <c r="BR307" i="28"/>
  <c r="BS307" i="28"/>
  <c r="BT307" i="28"/>
  <c r="BU307" i="28"/>
  <c r="BV307" i="28"/>
  <c r="BW307" i="28"/>
  <c r="BX307" i="28"/>
  <c r="BY307" i="28"/>
  <c r="BZ307" i="28"/>
  <c r="CA307" i="28"/>
  <c r="CB307" i="28"/>
  <c r="CC307" i="28"/>
  <c r="CD307" i="28"/>
  <c r="CE307" i="28"/>
  <c r="CF307" i="28"/>
  <c r="CG307" i="28"/>
  <c r="CH307" i="28"/>
  <c r="CI307" i="28"/>
  <c r="CJ307" i="28"/>
  <c r="CK307" i="28"/>
  <c r="CL307" i="28"/>
  <c r="CM307" i="28"/>
  <c r="CN307" i="28"/>
  <c r="CO307" i="28"/>
  <c r="CP307" i="28"/>
  <c r="CQ307" i="28"/>
  <c r="CR307" i="28"/>
  <c r="CS307" i="28"/>
  <c r="CT307" i="28"/>
  <c r="CU307" i="28"/>
  <c r="CV307" i="28"/>
  <c r="CW307" i="28"/>
  <c r="B308" i="28"/>
  <c r="C308" i="28"/>
  <c r="D308" i="28"/>
  <c r="E308" i="28"/>
  <c r="AN9" i="32" s="1"/>
  <c r="F308" i="28"/>
  <c r="G308" i="28"/>
  <c r="H308" i="28"/>
  <c r="AN15" i="32" s="1"/>
  <c r="I308" i="28"/>
  <c r="AN17" i="32" s="1"/>
  <c r="J308" i="28"/>
  <c r="AN19" i="32" s="1"/>
  <c r="K308" i="28"/>
  <c r="AN21" i="32" s="1"/>
  <c r="L308" i="28"/>
  <c r="AN23" i="32" s="1"/>
  <c r="M308" i="28"/>
  <c r="AN25" i="32" s="1"/>
  <c r="N308" i="28"/>
  <c r="AN27" i="32" s="1"/>
  <c r="O308" i="28"/>
  <c r="AN29" i="32" s="1"/>
  <c r="P308" i="28"/>
  <c r="AN31" i="32" s="1"/>
  <c r="Q308" i="28"/>
  <c r="AN33" i="32" s="1"/>
  <c r="R308" i="28"/>
  <c r="AN35" i="32" s="1"/>
  <c r="S308" i="28"/>
  <c r="AN37" i="32" s="1"/>
  <c r="T308" i="28"/>
  <c r="U308" i="28"/>
  <c r="V308" i="28"/>
  <c r="W308" i="28"/>
  <c r="X308" i="28"/>
  <c r="Y308" i="28"/>
  <c r="Z308" i="28"/>
  <c r="AA308" i="28"/>
  <c r="AB308" i="28"/>
  <c r="AC308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Q308" i="28"/>
  <c r="AR308" i="28"/>
  <c r="AS308" i="28"/>
  <c r="AT308" i="28"/>
  <c r="AU308" i="28"/>
  <c r="AV308" i="28"/>
  <c r="AW308" i="28"/>
  <c r="AX308" i="28"/>
  <c r="AY308" i="28"/>
  <c r="AZ308" i="28"/>
  <c r="BA308" i="28"/>
  <c r="BB308" i="28"/>
  <c r="BC308" i="28"/>
  <c r="BD308" i="28"/>
  <c r="BE308" i="28"/>
  <c r="BF308" i="28"/>
  <c r="BG308" i="28"/>
  <c r="BH308" i="28"/>
  <c r="BI308" i="28"/>
  <c r="BJ308" i="28"/>
  <c r="BK308" i="28"/>
  <c r="BL308" i="28"/>
  <c r="BM308" i="28"/>
  <c r="BN308" i="28"/>
  <c r="BO308" i="28"/>
  <c r="BP308" i="28"/>
  <c r="BQ308" i="28"/>
  <c r="BR308" i="28"/>
  <c r="BS308" i="28"/>
  <c r="BT308" i="28"/>
  <c r="BU308" i="28"/>
  <c r="BV308" i="28"/>
  <c r="BW308" i="28"/>
  <c r="BX308" i="28"/>
  <c r="BY308" i="28"/>
  <c r="BZ308" i="28"/>
  <c r="CA308" i="28"/>
  <c r="CB308" i="28"/>
  <c r="CC308" i="28"/>
  <c r="CD308" i="28"/>
  <c r="CE308" i="28"/>
  <c r="CF308" i="28"/>
  <c r="CG308" i="28"/>
  <c r="CH308" i="28"/>
  <c r="CI308" i="28"/>
  <c r="CJ308" i="28"/>
  <c r="CK308" i="28"/>
  <c r="CL308" i="28"/>
  <c r="CM308" i="28"/>
  <c r="CN308" i="28"/>
  <c r="CO308" i="28"/>
  <c r="CP308" i="28"/>
  <c r="CQ308" i="28"/>
  <c r="CR308" i="28"/>
  <c r="CS308" i="28"/>
  <c r="CT308" i="28"/>
  <c r="CU308" i="28"/>
  <c r="CV308" i="28"/>
  <c r="CW308" i="28"/>
  <c r="B309" i="28"/>
  <c r="C309" i="28"/>
  <c r="D309" i="28"/>
  <c r="E309" i="28"/>
  <c r="AO9" i="32" s="1"/>
  <c r="F309" i="28"/>
  <c r="G309" i="28"/>
  <c r="H309" i="28"/>
  <c r="AO15" i="32" s="1"/>
  <c r="I309" i="28"/>
  <c r="AO17" i="32" s="1"/>
  <c r="J309" i="28"/>
  <c r="AO19" i="32" s="1"/>
  <c r="K309" i="28"/>
  <c r="AO21" i="32" s="1"/>
  <c r="L309" i="28"/>
  <c r="AO23" i="32" s="1"/>
  <c r="M309" i="28"/>
  <c r="AO25" i="32" s="1"/>
  <c r="N309" i="28"/>
  <c r="AO27" i="32" s="1"/>
  <c r="O309" i="28"/>
  <c r="AO29" i="32" s="1"/>
  <c r="P309" i="28"/>
  <c r="AO31" i="32" s="1"/>
  <c r="Q309" i="28"/>
  <c r="AO33" i="32" s="1"/>
  <c r="R309" i="28"/>
  <c r="AO35" i="32" s="1"/>
  <c r="S309" i="28"/>
  <c r="AO37" i="32" s="1"/>
  <c r="T309" i="28"/>
  <c r="U309" i="28"/>
  <c r="V309" i="28"/>
  <c r="W309" i="28"/>
  <c r="X309" i="28"/>
  <c r="Y309" i="28"/>
  <c r="Z309" i="28"/>
  <c r="AA309" i="28"/>
  <c r="AB309" i="28"/>
  <c r="AC309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Q309" i="28"/>
  <c r="AR309" i="28"/>
  <c r="AS309" i="28"/>
  <c r="AT309" i="28"/>
  <c r="AU309" i="28"/>
  <c r="AV309" i="28"/>
  <c r="AW309" i="28"/>
  <c r="AX309" i="28"/>
  <c r="AY309" i="28"/>
  <c r="AZ309" i="28"/>
  <c r="BA309" i="28"/>
  <c r="BB309" i="28"/>
  <c r="BC309" i="28"/>
  <c r="BD309" i="28"/>
  <c r="BE309" i="28"/>
  <c r="BF309" i="28"/>
  <c r="BG309" i="28"/>
  <c r="BH309" i="28"/>
  <c r="BI309" i="28"/>
  <c r="BJ309" i="28"/>
  <c r="BK309" i="28"/>
  <c r="BL309" i="28"/>
  <c r="BM309" i="28"/>
  <c r="BN309" i="28"/>
  <c r="BO309" i="28"/>
  <c r="BP309" i="28"/>
  <c r="BQ309" i="28"/>
  <c r="BR309" i="28"/>
  <c r="BS309" i="28"/>
  <c r="BT309" i="28"/>
  <c r="BU309" i="28"/>
  <c r="BV309" i="28"/>
  <c r="BW309" i="28"/>
  <c r="BX309" i="28"/>
  <c r="BY309" i="28"/>
  <c r="BZ309" i="28"/>
  <c r="CA309" i="28"/>
  <c r="CB309" i="28"/>
  <c r="CC309" i="28"/>
  <c r="CD309" i="28"/>
  <c r="CE309" i="28"/>
  <c r="CF309" i="28"/>
  <c r="CG309" i="28"/>
  <c r="CH309" i="28"/>
  <c r="CI309" i="28"/>
  <c r="CJ309" i="28"/>
  <c r="CK309" i="28"/>
  <c r="CL309" i="28"/>
  <c r="CM309" i="28"/>
  <c r="CN309" i="28"/>
  <c r="CO309" i="28"/>
  <c r="CP309" i="28"/>
  <c r="CQ309" i="28"/>
  <c r="CR309" i="28"/>
  <c r="CS309" i="28"/>
  <c r="CT309" i="28"/>
  <c r="CU309" i="28"/>
  <c r="CV309" i="28"/>
  <c r="CW309" i="28"/>
  <c r="B310" i="28"/>
  <c r="C310" i="28"/>
  <c r="D310" i="28"/>
  <c r="E310" i="28"/>
  <c r="AP9" i="32" s="1"/>
  <c r="F310" i="28"/>
  <c r="G310" i="28"/>
  <c r="H310" i="28"/>
  <c r="AP15" i="32" s="1"/>
  <c r="I310" i="28"/>
  <c r="AP17" i="32" s="1"/>
  <c r="J310" i="28"/>
  <c r="AP19" i="32" s="1"/>
  <c r="K310" i="28"/>
  <c r="AP21" i="32" s="1"/>
  <c r="L310" i="28"/>
  <c r="AP23" i="32" s="1"/>
  <c r="M310" i="28"/>
  <c r="AP25" i="32" s="1"/>
  <c r="N310" i="28"/>
  <c r="AP27" i="32" s="1"/>
  <c r="O310" i="28"/>
  <c r="AP29" i="32" s="1"/>
  <c r="P310" i="28"/>
  <c r="AP31" i="32" s="1"/>
  <c r="Q310" i="28"/>
  <c r="AP33" i="32" s="1"/>
  <c r="R310" i="28"/>
  <c r="AP35" i="32" s="1"/>
  <c r="S310" i="28"/>
  <c r="AP37" i="32" s="1"/>
  <c r="T310" i="28"/>
  <c r="U310" i="28"/>
  <c r="V310" i="28"/>
  <c r="W310" i="28"/>
  <c r="X310" i="28"/>
  <c r="Y310" i="28"/>
  <c r="Z310" i="28"/>
  <c r="AA310" i="28"/>
  <c r="AB310" i="28"/>
  <c r="AC310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Q310" i="28"/>
  <c r="AR310" i="28"/>
  <c r="AS310" i="28"/>
  <c r="AT310" i="28"/>
  <c r="AU310" i="28"/>
  <c r="AV310" i="28"/>
  <c r="AW310" i="28"/>
  <c r="AX310" i="28"/>
  <c r="AY310" i="28"/>
  <c r="AZ310" i="28"/>
  <c r="BA310" i="28"/>
  <c r="BB310" i="28"/>
  <c r="BC310" i="28"/>
  <c r="BD310" i="28"/>
  <c r="BE310" i="28"/>
  <c r="BF310" i="28"/>
  <c r="BG310" i="28"/>
  <c r="BH310" i="28"/>
  <c r="BI310" i="28"/>
  <c r="BJ310" i="28"/>
  <c r="BK310" i="28"/>
  <c r="BL310" i="28"/>
  <c r="BM310" i="28"/>
  <c r="BN310" i="28"/>
  <c r="BO310" i="28"/>
  <c r="BP310" i="28"/>
  <c r="BQ310" i="28"/>
  <c r="BR310" i="28"/>
  <c r="BS310" i="28"/>
  <c r="BT310" i="28"/>
  <c r="BU310" i="28"/>
  <c r="BV310" i="28"/>
  <c r="BW310" i="28"/>
  <c r="BX310" i="28"/>
  <c r="BY310" i="28"/>
  <c r="BZ310" i="28"/>
  <c r="CA310" i="28"/>
  <c r="CB310" i="28"/>
  <c r="CC310" i="28"/>
  <c r="CD310" i="28"/>
  <c r="CE310" i="28"/>
  <c r="CF310" i="28"/>
  <c r="CG310" i="28"/>
  <c r="CH310" i="28"/>
  <c r="CI310" i="28"/>
  <c r="CJ310" i="28"/>
  <c r="CK310" i="28"/>
  <c r="CL310" i="28"/>
  <c r="CM310" i="28"/>
  <c r="CN310" i="28"/>
  <c r="CO310" i="28"/>
  <c r="CP310" i="28"/>
  <c r="CQ310" i="28"/>
  <c r="CR310" i="28"/>
  <c r="CS310" i="28"/>
  <c r="CT310" i="28"/>
  <c r="CU310" i="28"/>
  <c r="CV310" i="28"/>
  <c r="CW310" i="28"/>
  <c r="B311" i="28"/>
  <c r="C311" i="28"/>
  <c r="D311" i="28"/>
  <c r="E311" i="28"/>
  <c r="AQ9" i="32" s="1"/>
  <c r="F311" i="28"/>
  <c r="G311" i="28"/>
  <c r="H311" i="28"/>
  <c r="AQ15" i="32" s="1"/>
  <c r="I311" i="28"/>
  <c r="AQ17" i="32" s="1"/>
  <c r="J311" i="28"/>
  <c r="AQ19" i="32" s="1"/>
  <c r="K311" i="28"/>
  <c r="AQ21" i="32" s="1"/>
  <c r="L311" i="28"/>
  <c r="AQ23" i="32" s="1"/>
  <c r="M311" i="28"/>
  <c r="AQ25" i="32" s="1"/>
  <c r="N311" i="28"/>
  <c r="AQ27" i="32" s="1"/>
  <c r="O311" i="28"/>
  <c r="AQ29" i="32" s="1"/>
  <c r="P311" i="28"/>
  <c r="AQ31" i="32" s="1"/>
  <c r="Q311" i="28"/>
  <c r="AQ33" i="32" s="1"/>
  <c r="R311" i="28"/>
  <c r="AQ35" i="32" s="1"/>
  <c r="S311" i="28"/>
  <c r="AQ37" i="32" s="1"/>
  <c r="T311" i="28"/>
  <c r="U311" i="28"/>
  <c r="V311" i="28"/>
  <c r="W311" i="28"/>
  <c r="X311" i="28"/>
  <c r="Y311" i="28"/>
  <c r="Z311" i="28"/>
  <c r="AA311" i="28"/>
  <c r="AB311" i="28"/>
  <c r="AC311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Q311" i="28"/>
  <c r="AR311" i="28"/>
  <c r="AS311" i="28"/>
  <c r="AT311" i="28"/>
  <c r="AU311" i="28"/>
  <c r="AV311" i="28"/>
  <c r="AW311" i="28"/>
  <c r="AX311" i="28"/>
  <c r="AY311" i="28"/>
  <c r="AZ311" i="28"/>
  <c r="BA311" i="28"/>
  <c r="BB311" i="28"/>
  <c r="BC311" i="28"/>
  <c r="BD311" i="28"/>
  <c r="BE311" i="28"/>
  <c r="BF311" i="28"/>
  <c r="BG311" i="28"/>
  <c r="BH311" i="28"/>
  <c r="BI311" i="28"/>
  <c r="BJ311" i="28"/>
  <c r="BK311" i="28"/>
  <c r="BL311" i="28"/>
  <c r="BM311" i="28"/>
  <c r="BN311" i="28"/>
  <c r="BO311" i="28"/>
  <c r="BP311" i="28"/>
  <c r="BQ311" i="28"/>
  <c r="BR311" i="28"/>
  <c r="BS311" i="28"/>
  <c r="BT311" i="28"/>
  <c r="BU311" i="28"/>
  <c r="BV311" i="28"/>
  <c r="BW311" i="28"/>
  <c r="BX311" i="28"/>
  <c r="BY311" i="28"/>
  <c r="BZ311" i="28"/>
  <c r="CA311" i="28"/>
  <c r="CB311" i="28"/>
  <c r="CC311" i="28"/>
  <c r="CD311" i="28"/>
  <c r="CE311" i="28"/>
  <c r="CF311" i="28"/>
  <c r="CG311" i="28"/>
  <c r="CH311" i="28"/>
  <c r="CI311" i="28"/>
  <c r="CJ311" i="28"/>
  <c r="CK311" i="28"/>
  <c r="CL311" i="28"/>
  <c r="CM311" i="28"/>
  <c r="CN311" i="28"/>
  <c r="CO311" i="28"/>
  <c r="CP311" i="28"/>
  <c r="CQ311" i="28"/>
  <c r="CR311" i="28"/>
  <c r="CS311" i="28"/>
  <c r="CT311" i="28"/>
  <c r="CU311" i="28"/>
  <c r="CV311" i="28"/>
  <c r="CW311" i="28"/>
  <c r="B312" i="28"/>
  <c r="C312" i="28"/>
  <c r="D312" i="28"/>
  <c r="E312" i="28"/>
  <c r="AR9" i="32" s="1"/>
  <c r="F312" i="28"/>
  <c r="AR11" i="32" s="1"/>
  <c r="G312" i="28"/>
  <c r="AR13" i="32" s="1"/>
  <c r="H312" i="28"/>
  <c r="AR15" i="32" s="1"/>
  <c r="I312" i="28"/>
  <c r="AR17" i="32" s="1"/>
  <c r="J312" i="28"/>
  <c r="AR19" i="32" s="1"/>
  <c r="K312" i="28"/>
  <c r="AR21" i="32" s="1"/>
  <c r="L312" i="28"/>
  <c r="M312" i="28"/>
  <c r="AR25" i="32" s="1"/>
  <c r="N312" i="28"/>
  <c r="AR27" i="32" s="1"/>
  <c r="O312" i="28"/>
  <c r="AR29" i="32" s="1"/>
  <c r="P312" i="28"/>
  <c r="AR31" i="32" s="1"/>
  <c r="Q312" i="28"/>
  <c r="AR33" i="32" s="1"/>
  <c r="R312" i="28"/>
  <c r="AR35" i="32" s="1"/>
  <c r="S312" i="28"/>
  <c r="AR37" i="32" s="1"/>
  <c r="T312" i="28"/>
  <c r="U312" i="28"/>
  <c r="V312" i="28"/>
  <c r="W312" i="28"/>
  <c r="X312" i="28"/>
  <c r="Y312" i="28"/>
  <c r="Z312" i="28"/>
  <c r="AA312" i="28"/>
  <c r="AB312" i="28"/>
  <c r="AC312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Q312" i="28"/>
  <c r="AR312" i="28"/>
  <c r="AS312" i="28"/>
  <c r="AT312" i="28"/>
  <c r="AU312" i="28"/>
  <c r="AV312" i="28"/>
  <c r="AW312" i="28"/>
  <c r="AX312" i="28"/>
  <c r="AY312" i="28"/>
  <c r="AZ312" i="28"/>
  <c r="BA312" i="28"/>
  <c r="BB312" i="28"/>
  <c r="BC312" i="28"/>
  <c r="BD312" i="28"/>
  <c r="BE312" i="28"/>
  <c r="BF312" i="28"/>
  <c r="BG312" i="28"/>
  <c r="BH312" i="28"/>
  <c r="BI312" i="28"/>
  <c r="BJ312" i="28"/>
  <c r="BK312" i="28"/>
  <c r="BL312" i="28"/>
  <c r="BM312" i="28"/>
  <c r="BN312" i="28"/>
  <c r="BO312" i="28"/>
  <c r="BP312" i="28"/>
  <c r="BQ312" i="28"/>
  <c r="BR312" i="28"/>
  <c r="BS312" i="28"/>
  <c r="BT312" i="28"/>
  <c r="BU312" i="28"/>
  <c r="BV312" i="28"/>
  <c r="BW312" i="28"/>
  <c r="BX312" i="28"/>
  <c r="BY312" i="28"/>
  <c r="BZ312" i="28"/>
  <c r="CA312" i="28"/>
  <c r="CB312" i="28"/>
  <c r="CC312" i="28"/>
  <c r="CD312" i="28"/>
  <c r="CE312" i="28"/>
  <c r="CF312" i="28"/>
  <c r="CG312" i="28"/>
  <c r="CH312" i="28"/>
  <c r="CI312" i="28"/>
  <c r="CJ312" i="28"/>
  <c r="CK312" i="28"/>
  <c r="CL312" i="28"/>
  <c r="CM312" i="28"/>
  <c r="CN312" i="28"/>
  <c r="CO312" i="28"/>
  <c r="CP312" i="28"/>
  <c r="CQ312" i="28"/>
  <c r="CR312" i="28"/>
  <c r="CS312" i="28"/>
  <c r="CT312" i="28"/>
  <c r="CU312" i="28"/>
  <c r="CV312" i="28"/>
  <c r="CW312" i="28"/>
  <c r="B313" i="28"/>
  <c r="C313" i="28"/>
  <c r="D313" i="28"/>
  <c r="E313" i="28"/>
  <c r="AS9" i="32" s="1"/>
  <c r="F313" i="28"/>
  <c r="AS11" i="32" s="1"/>
  <c r="G313" i="28"/>
  <c r="AS13" i="32" s="1"/>
  <c r="H313" i="28"/>
  <c r="AS15" i="32" s="1"/>
  <c r="I313" i="28"/>
  <c r="AS17" i="32" s="1"/>
  <c r="J313" i="28"/>
  <c r="AS19" i="32" s="1"/>
  <c r="K313" i="28"/>
  <c r="AS21" i="32" s="1"/>
  <c r="L313" i="28"/>
  <c r="M313" i="28"/>
  <c r="N313" i="28"/>
  <c r="AS27" i="32" s="1"/>
  <c r="O313" i="28"/>
  <c r="AS29" i="32" s="1"/>
  <c r="P313" i="28"/>
  <c r="AS31" i="32" s="1"/>
  <c r="Q313" i="28"/>
  <c r="AS33" i="32" s="1"/>
  <c r="R313" i="28"/>
  <c r="AS35" i="32" s="1"/>
  <c r="S313" i="28"/>
  <c r="AS37" i="32" s="1"/>
  <c r="T313" i="28"/>
  <c r="U313" i="28"/>
  <c r="V313" i="28"/>
  <c r="W313" i="28"/>
  <c r="X313" i="28"/>
  <c r="Y313" i="28"/>
  <c r="Z313" i="28"/>
  <c r="AA313" i="28"/>
  <c r="AB313" i="28"/>
  <c r="AC313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Q313" i="28"/>
  <c r="AR313" i="28"/>
  <c r="AS313" i="28"/>
  <c r="AT313" i="28"/>
  <c r="AU313" i="28"/>
  <c r="AV313" i="28"/>
  <c r="AW313" i="28"/>
  <c r="AX313" i="28"/>
  <c r="AY313" i="28"/>
  <c r="AZ313" i="28"/>
  <c r="BA313" i="28"/>
  <c r="BB313" i="28"/>
  <c r="BC313" i="28"/>
  <c r="BD313" i="28"/>
  <c r="BE313" i="28"/>
  <c r="BF313" i="28"/>
  <c r="BG313" i="28"/>
  <c r="BH313" i="28"/>
  <c r="BI313" i="28"/>
  <c r="BJ313" i="28"/>
  <c r="BK313" i="28"/>
  <c r="BL313" i="28"/>
  <c r="BM313" i="28"/>
  <c r="BN313" i="28"/>
  <c r="BO313" i="28"/>
  <c r="BP313" i="28"/>
  <c r="BQ313" i="28"/>
  <c r="BR313" i="28"/>
  <c r="BS313" i="28"/>
  <c r="BT313" i="28"/>
  <c r="BU313" i="28"/>
  <c r="BV313" i="28"/>
  <c r="BW313" i="28"/>
  <c r="BX313" i="28"/>
  <c r="BY313" i="28"/>
  <c r="BZ313" i="28"/>
  <c r="CA313" i="28"/>
  <c r="CB313" i="28"/>
  <c r="CC313" i="28"/>
  <c r="CD313" i="28"/>
  <c r="CE313" i="28"/>
  <c r="CF313" i="28"/>
  <c r="CG313" i="28"/>
  <c r="CH313" i="28"/>
  <c r="CI313" i="28"/>
  <c r="CJ313" i="28"/>
  <c r="CK313" i="28"/>
  <c r="CL313" i="28"/>
  <c r="CM313" i="28"/>
  <c r="CN313" i="28"/>
  <c r="CO313" i="28"/>
  <c r="CP313" i="28"/>
  <c r="CQ313" i="28"/>
  <c r="CR313" i="28"/>
  <c r="CS313" i="28"/>
  <c r="CT313" i="28"/>
  <c r="CU313" i="28"/>
  <c r="CV313" i="28"/>
  <c r="CW313" i="28"/>
  <c r="B314" i="28"/>
  <c r="C314" i="28"/>
  <c r="D314" i="28"/>
  <c r="E314" i="28"/>
  <c r="AT9" i="32" s="1"/>
  <c r="F314" i="28"/>
  <c r="AT11" i="32" s="1"/>
  <c r="G314" i="28"/>
  <c r="AT13" i="32" s="1"/>
  <c r="H314" i="28"/>
  <c r="AT15" i="32" s="1"/>
  <c r="I314" i="28"/>
  <c r="AT17" i="32" s="1"/>
  <c r="J314" i="28"/>
  <c r="AT19" i="32" s="1"/>
  <c r="K314" i="28"/>
  <c r="AT21" i="32" s="1"/>
  <c r="L314" i="28"/>
  <c r="M314" i="28"/>
  <c r="N314" i="28"/>
  <c r="AT27" i="32" s="1"/>
  <c r="O314" i="28"/>
  <c r="AT29" i="32" s="1"/>
  <c r="P314" i="28"/>
  <c r="AT31" i="32" s="1"/>
  <c r="Q314" i="28"/>
  <c r="AT33" i="32" s="1"/>
  <c r="R314" i="28"/>
  <c r="AT35" i="32" s="1"/>
  <c r="S314" i="28"/>
  <c r="AT37" i="32" s="1"/>
  <c r="T314" i="28"/>
  <c r="U314" i="28"/>
  <c r="V314" i="28"/>
  <c r="W314" i="28"/>
  <c r="X314" i="28"/>
  <c r="Y314" i="28"/>
  <c r="Z314" i="28"/>
  <c r="AA314" i="28"/>
  <c r="AB314" i="28"/>
  <c r="AC314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Q314" i="28"/>
  <c r="AR314" i="28"/>
  <c r="AS314" i="28"/>
  <c r="AT314" i="28"/>
  <c r="AU314" i="28"/>
  <c r="AV314" i="28"/>
  <c r="AW314" i="28"/>
  <c r="AX314" i="28"/>
  <c r="AY314" i="28"/>
  <c r="AZ314" i="28"/>
  <c r="BA314" i="28"/>
  <c r="BB314" i="28"/>
  <c r="BC314" i="28"/>
  <c r="BD314" i="28"/>
  <c r="BE314" i="28"/>
  <c r="BF314" i="28"/>
  <c r="BG314" i="28"/>
  <c r="BH314" i="28"/>
  <c r="BI314" i="28"/>
  <c r="BJ314" i="28"/>
  <c r="BK314" i="28"/>
  <c r="BL314" i="28"/>
  <c r="BM314" i="28"/>
  <c r="BN314" i="28"/>
  <c r="BO314" i="28"/>
  <c r="BP314" i="28"/>
  <c r="BQ314" i="28"/>
  <c r="BR314" i="28"/>
  <c r="BS314" i="28"/>
  <c r="BT314" i="28"/>
  <c r="BU314" i="28"/>
  <c r="BV314" i="28"/>
  <c r="BW314" i="28"/>
  <c r="BX314" i="28"/>
  <c r="BY314" i="28"/>
  <c r="BZ314" i="28"/>
  <c r="CA314" i="28"/>
  <c r="CB314" i="28"/>
  <c r="CC314" i="28"/>
  <c r="CD314" i="28"/>
  <c r="CE314" i="28"/>
  <c r="CF314" i="28"/>
  <c r="CG314" i="28"/>
  <c r="CH314" i="28"/>
  <c r="CI314" i="28"/>
  <c r="CJ314" i="28"/>
  <c r="CK314" i="28"/>
  <c r="CL314" i="28"/>
  <c r="CM314" i="28"/>
  <c r="CN314" i="28"/>
  <c r="CO314" i="28"/>
  <c r="CP314" i="28"/>
  <c r="CQ314" i="28"/>
  <c r="CR314" i="28"/>
  <c r="CS314" i="28"/>
  <c r="CT314" i="28"/>
  <c r="CU314" i="28"/>
  <c r="CV314" i="28"/>
  <c r="CW314" i="28"/>
  <c r="B315" i="28"/>
  <c r="C315" i="28"/>
  <c r="D315" i="28"/>
  <c r="E315" i="28"/>
  <c r="AU9" i="32" s="1"/>
  <c r="F315" i="28"/>
  <c r="AU11" i="32" s="1"/>
  <c r="G315" i="28"/>
  <c r="AU13" i="32" s="1"/>
  <c r="H315" i="28"/>
  <c r="I315" i="28"/>
  <c r="AU17" i="32" s="1"/>
  <c r="J315" i="28"/>
  <c r="AU19" i="32" s="1"/>
  <c r="K315" i="28"/>
  <c r="AU21" i="32" s="1"/>
  <c r="L315" i="28"/>
  <c r="M315" i="28"/>
  <c r="N315" i="28"/>
  <c r="O315" i="28"/>
  <c r="AU29" i="32" s="1"/>
  <c r="P315" i="28"/>
  <c r="AU31" i="32" s="1"/>
  <c r="Q315" i="28"/>
  <c r="AU33" i="32" s="1"/>
  <c r="R315" i="28"/>
  <c r="AU35" i="32" s="1"/>
  <c r="S315" i="28"/>
  <c r="AU37" i="32" s="1"/>
  <c r="T315" i="28"/>
  <c r="U315" i="28"/>
  <c r="V315" i="28"/>
  <c r="W315" i="28"/>
  <c r="X315" i="28"/>
  <c r="Y315" i="28"/>
  <c r="Z315" i="28"/>
  <c r="AA315" i="28"/>
  <c r="AB315" i="28"/>
  <c r="AC315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Q315" i="28"/>
  <c r="AR315" i="28"/>
  <c r="AS315" i="28"/>
  <c r="AT315" i="28"/>
  <c r="AU315" i="28"/>
  <c r="AV315" i="28"/>
  <c r="AW315" i="28"/>
  <c r="AX315" i="28"/>
  <c r="AY315" i="28"/>
  <c r="AZ315" i="28"/>
  <c r="BA315" i="28"/>
  <c r="BB315" i="28"/>
  <c r="BC315" i="28"/>
  <c r="BD315" i="28"/>
  <c r="BE315" i="28"/>
  <c r="BF315" i="28"/>
  <c r="BG315" i="28"/>
  <c r="BH315" i="28"/>
  <c r="BI315" i="28"/>
  <c r="BJ315" i="28"/>
  <c r="BK315" i="28"/>
  <c r="BL315" i="28"/>
  <c r="BM315" i="28"/>
  <c r="BN315" i="28"/>
  <c r="BO315" i="28"/>
  <c r="BP315" i="28"/>
  <c r="BQ315" i="28"/>
  <c r="BR315" i="28"/>
  <c r="BS315" i="28"/>
  <c r="BT315" i="28"/>
  <c r="BU315" i="28"/>
  <c r="BV315" i="28"/>
  <c r="BW315" i="28"/>
  <c r="BX315" i="28"/>
  <c r="BY315" i="28"/>
  <c r="BZ315" i="28"/>
  <c r="CA315" i="28"/>
  <c r="CB315" i="28"/>
  <c r="CC315" i="28"/>
  <c r="CD315" i="28"/>
  <c r="CE315" i="28"/>
  <c r="CF315" i="28"/>
  <c r="CG315" i="28"/>
  <c r="CH315" i="28"/>
  <c r="CI315" i="28"/>
  <c r="CJ315" i="28"/>
  <c r="CK315" i="28"/>
  <c r="CL315" i="28"/>
  <c r="CM315" i="28"/>
  <c r="CN315" i="28"/>
  <c r="CO315" i="28"/>
  <c r="CP315" i="28"/>
  <c r="CQ315" i="28"/>
  <c r="CR315" i="28"/>
  <c r="CS315" i="28"/>
  <c r="CT315" i="28"/>
  <c r="CU315" i="28"/>
  <c r="CV315" i="28"/>
  <c r="CW315" i="28"/>
  <c r="B316" i="28"/>
  <c r="C316" i="28"/>
  <c r="D316" i="28"/>
  <c r="E316" i="28"/>
  <c r="AV9" i="32" s="1"/>
  <c r="F316" i="28"/>
  <c r="AV11" i="32" s="1"/>
  <c r="G316" i="28"/>
  <c r="AV13" i="32" s="1"/>
  <c r="H316" i="28"/>
  <c r="I316" i="28"/>
  <c r="AV17" i="32" s="1"/>
  <c r="J316" i="28"/>
  <c r="AV19" i="32" s="1"/>
  <c r="K316" i="28"/>
  <c r="AV21" i="32" s="1"/>
  <c r="L316" i="28"/>
  <c r="M316" i="28"/>
  <c r="N316" i="28"/>
  <c r="AV27" i="32" s="1"/>
  <c r="O316" i="28"/>
  <c r="AV29" i="32" s="1"/>
  <c r="P316" i="28"/>
  <c r="AV31" i="32" s="1"/>
  <c r="Q316" i="28"/>
  <c r="AV33" i="32" s="1"/>
  <c r="R316" i="28"/>
  <c r="AV35" i="32" s="1"/>
  <c r="S316" i="28"/>
  <c r="AV37" i="32" s="1"/>
  <c r="T316" i="28"/>
  <c r="U316" i="28"/>
  <c r="V316" i="28"/>
  <c r="W316" i="28"/>
  <c r="X316" i="28"/>
  <c r="Y316" i="28"/>
  <c r="Z316" i="28"/>
  <c r="AA316" i="28"/>
  <c r="AB316" i="28"/>
  <c r="AC316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Q316" i="28"/>
  <c r="AR316" i="28"/>
  <c r="AS316" i="28"/>
  <c r="AT316" i="28"/>
  <c r="AU316" i="28"/>
  <c r="AV316" i="28"/>
  <c r="AW316" i="28"/>
  <c r="AX316" i="28"/>
  <c r="AY316" i="28"/>
  <c r="AZ316" i="28"/>
  <c r="BA316" i="28"/>
  <c r="BB316" i="28"/>
  <c r="BC316" i="28"/>
  <c r="BD316" i="28"/>
  <c r="BE316" i="28"/>
  <c r="BF316" i="28"/>
  <c r="BG316" i="28"/>
  <c r="BH316" i="28"/>
  <c r="BI316" i="28"/>
  <c r="BJ316" i="28"/>
  <c r="BK316" i="28"/>
  <c r="BL316" i="28"/>
  <c r="BM316" i="28"/>
  <c r="BN316" i="28"/>
  <c r="BO316" i="28"/>
  <c r="BP316" i="28"/>
  <c r="BQ316" i="28"/>
  <c r="BR316" i="28"/>
  <c r="BS316" i="28"/>
  <c r="BT316" i="28"/>
  <c r="BU316" i="28"/>
  <c r="BV316" i="28"/>
  <c r="BW316" i="28"/>
  <c r="BX316" i="28"/>
  <c r="BY316" i="28"/>
  <c r="BZ316" i="28"/>
  <c r="CA316" i="28"/>
  <c r="CB316" i="28"/>
  <c r="CC316" i="28"/>
  <c r="CD316" i="28"/>
  <c r="CE316" i="28"/>
  <c r="CF316" i="28"/>
  <c r="CG316" i="28"/>
  <c r="CH316" i="28"/>
  <c r="CI316" i="28"/>
  <c r="CJ316" i="28"/>
  <c r="CK316" i="28"/>
  <c r="CL316" i="28"/>
  <c r="CM316" i="28"/>
  <c r="CN316" i="28"/>
  <c r="CO316" i="28"/>
  <c r="CP316" i="28"/>
  <c r="CQ316" i="28"/>
  <c r="CR316" i="28"/>
  <c r="CS316" i="28"/>
  <c r="CT316" i="28"/>
  <c r="CU316" i="28"/>
  <c r="CV316" i="28"/>
  <c r="CW316" i="28"/>
  <c r="B317" i="28"/>
  <c r="C317" i="28"/>
  <c r="D317" i="28"/>
  <c r="E317" i="28"/>
  <c r="AW9" i="32" s="1"/>
  <c r="F317" i="28"/>
  <c r="AW11" i="32" s="1"/>
  <c r="G317" i="28"/>
  <c r="AW13" i="32" s="1"/>
  <c r="H317" i="28"/>
  <c r="I317" i="28"/>
  <c r="AW17" i="32" s="1"/>
  <c r="J317" i="28"/>
  <c r="AW19" i="32" s="1"/>
  <c r="K317" i="28"/>
  <c r="AW21" i="32" s="1"/>
  <c r="L317" i="28"/>
  <c r="M317" i="28"/>
  <c r="N317" i="28"/>
  <c r="AW27" i="32" s="1"/>
  <c r="O317" i="28"/>
  <c r="AW29" i="32" s="1"/>
  <c r="P317" i="28"/>
  <c r="AW31" i="32" s="1"/>
  <c r="Q317" i="28"/>
  <c r="AW33" i="32" s="1"/>
  <c r="R317" i="28"/>
  <c r="AW35" i="32" s="1"/>
  <c r="S317" i="28"/>
  <c r="AW37" i="32" s="1"/>
  <c r="T317" i="28"/>
  <c r="U317" i="28"/>
  <c r="V317" i="28"/>
  <c r="W317" i="28"/>
  <c r="X317" i="28"/>
  <c r="Y317" i="28"/>
  <c r="Z317" i="28"/>
  <c r="AA317" i="28"/>
  <c r="AB317" i="28"/>
  <c r="AC317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Q317" i="28"/>
  <c r="AR317" i="28"/>
  <c r="AS317" i="28"/>
  <c r="AT317" i="28"/>
  <c r="AU317" i="28"/>
  <c r="AV317" i="28"/>
  <c r="AW317" i="28"/>
  <c r="AX317" i="28"/>
  <c r="AY317" i="28"/>
  <c r="AZ317" i="28"/>
  <c r="BA317" i="28"/>
  <c r="BB317" i="28"/>
  <c r="BC317" i="28"/>
  <c r="BD317" i="28"/>
  <c r="BE317" i="28"/>
  <c r="BF317" i="28"/>
  <c r="BG317" i="28"/>
  <c r="BH317" i="28"/>
  <c r="BI317" i="28"/>
  <c r="BJ317" i="28"/>
  <c r="BK317" i="28"/>
  <c r="BL317" i="28"/>
  <c r="BM317" i="28"/>
  <c r="BN317" i="28"/>
  <c r="BO317" i="28"/>
  <c r="BP317" i="28"/>
  <c r="BQ317" i="28"/>
  <c r="BR317" i="28"/>
  <c r="BS317" i="28"/>
  <c r="BT317" i="28"/>
  <c r="BU317" i="28"/>
  <c r="BV317" i="28"/>
  <c r="BW317" i="28"/>
  <c r="BX317" i="28"/>
  <c r="BY317" i="28"/>
  <c r="BZ317" i="28"/>
  <c r="CA317" i="28"/>
  <c r="CB317" i="28"/>
  <c r="CC317" i="28"/>
  <c r="CD317" i="28"/>
  <c r="CE317" i="28"/>
  <c r="CF317" i="28"/>
  <c r="CG317" i="28"/>
  <c r="CH317" i="28"/>
  <c r="CI317" i="28"/>
  <c r="CJ317" i="28"/>
  <c r="CK317" i="28"/>
  <c r="CL317" i="28"/>
  <c r="CM317" i="28"/>
  <c r="CN317" i="28"/>
  <c r="CO317" i="28"/>
  <c r="CP317" i="28"/>
  <c r="CQ317" i="28"/>
  <c r="CR317" i="28"/>
  <c r="CS317" i="28"/>
  <c r="CT317" i="28"/>
  <c r="CU317" i="28"/>
  <c r="CV317" i="28"/>
  <c r="CW317" i="28"/>
  <c r="B318" i="28"/>
  <c r="C318" i="28"/>
  <c r="D318" i="28"/>
  <c r="E318" i="28"/>
  <c r="AX9" i="32" s="1"/>
  <c r="F318" i="28"/>
  <c r="AX11" i="32" s="1"/>
  <c r="G318" i="28"/>
  <c r="AX13" i="32" s="1"/>
  <c r="H318" i="28"/>
  <c r="I318" i="28"/>
  <c r="AX17" i="32" s="1"/>
  <c r="J318" i="28"/>
  <c r="AX19" i="32" s="1"/>
  <c r="K318" i="28"/>
  <c r="AX21" i="32" s="1"/>
  <c r="L318" i="28"/>
  <c r="M318" i="28"/>
  <c r="N318" i="28"/>
  <c r="AX27" i="32" s="1"/>
  <c r="O318" i="28"/>
  <c r="AX29" i="32" s="1"/>
  <c r="P318" i="28"/>
  <c r="AX31" i="32" s="1"/>
  <c r="Q318" i="28"/>
  <c r="AX33" i="32" s="1"/>
  <c r="R318" i="28"/>
  <c r="AX35" i="32" s="1"/>
  <c r="S318" i="28"/>
  <c r="AX37" i="32" s="1"/>
  <c r="T318" i="28"/>
  <c r="U318" i="28"/>
  <c r="V318" i="28"/>
  <c r="W318" i="28"/>
  <c r="X318" i="28"/>
  <c r="Y318" i="28"/>
  <c r="Z318" i="28"/>
  <c r="AA318" i="28"/>
  <c r="AB318" i="28"/>
  <c r="AC318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Q318" i="28"/>
  <c r="AR318" i="28"/>
  <c r="AS318" i="28"/>
  <c r="AT318" i="28"/>
  <c r="AU318" i="28"/>
  <c r="AV318" i="28"/>
  <c r="AW318" i="28"/>
  <c r="AX318" i="28"/>
  <c r="AY318" i="28"/>
  <c r="AZ318" i="28"/>
  <c r="BA318" i="28"/>
  <c r="BB318" i="28"/>
  <c r="BC318" i="28"/>
  <c r="BD318" i="28"/>
  <c r="BE318" i="28"/>
  <c r="BF318" i="28"/>
  <c r="BG318" i="28"/>
  <c r="BH318" i="28"/>
  <c r="BI318" i="28"/>
  <c r="BJ318" i="28"/>
  <c r="BK318" i="28"/>
  <c r="BL318" i="28"/>
  <c r="BM318" i="28"/>
  <c r="BN318" i="28"/>
  <c r="BO318" i="28"/>
  <c r="BP318" i="28"/>
  <c r="BQ318" i="28"/>
  <c r="BR318" i="28"/>
  <c r="BS318" i="28"/>
  <c r="BT318" i="28"/>
  <c r="BU318" i="28"/>
  <c r="BV318" i="28"/>
  <c r="BW318" i="28"/>
  <c r="BX318" i="28"/>
  <c r="BY318" i="28"/>
  <c r="BZ318" i="28"/>
  <c r="CA318" i="28"/>
  <c r="CB318" i="28"/>
  <c r="CC318" i="28"/>
  <c r="CD318" i="28"/>
  <c r="CE318" i="28"/>
  <c r="CF318" i="28"/>
  <c r="CG318" i="28"/>
  <c r="CH318" i="28"/>
  <c r="CI318" i="28"/>
  <c r="CJ318" i="28"/>
  <c r="CK318" i="28"/>
  <c r="CL318" i="28"/>
  <c r="CM318" i="28"/>
  <c r="CN318" i="28"/>
  <c r="CO318" i="28"/>
  <c r="CP318" i="28"/>
  <c r="CQ318" i="28"/>
  <c r="CR318" i="28"/>
  <c r="CS318" i="28"/>
  <c r="CT318" i="28"/>
  <c r="CU318" i="28"/>
  <c r="CV318" i="28"/>
  <c r="CW318" i="28"/>
  <c r="B319" i="28"/>
  <c r="C319" i="28"/>
  <c r="D319" i="28"/>
  <c r="E319" i="28"/>
  <c r="AY9" i="32" s="1"/>
  <c r="F319" i="28"/>
  <c r="AY11" i="32" s="1"/>
  <c r="G319" i="28"/>
  <c r="AY13" i="32" s="1"/>
  <c r="H319" i="28"/>
  <c r="I319" i="28"/>
  <c r="AY17" i="32" s="1"/>
  <c r="J319" i="28"/>
  <c r="AY19" i="32" s="1"/>
  <c r="K319" i="28"/>
  <c r="AY21" i="32" s="1"/>
  <c r="L319" i="28"/>
  <c r="AY23" i="32" s="1"/>
  <c r="M319" i="28"/>
  <c r="N319" i="28"/>
  <c r="AY27" i="32" s="1"/>
  <c r="O319" i="28"/>
  <c r="AY29" i="32" s="1"/>
  <c r="P319" i="28"/>
  <c r="AY31" i="32" s="1"/>
  <c r="Q319" i="28"/>
  <c r="AY33" i="32" s="1"/>
  <c r="R319" i="28"/>
  <c r="AY35" i="32" s="1"/>
  <c r="S319" i="28"/>
  <c r="AY37" i="32" s="1"/>
  <c r="T319" i="28"/>
  <c r="U319" i="28"/>
  <c r="V319" i="28"/>
  <c r="W319" i="28"/>
  <c r="X319" i="28"/>
  <c r="Y319" i="28"/>
  <c r="Z319" i="28"/>
  <c r="AA319" i="28"/>
  <c r="AB319" i="28"/>
  <c r="AC319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Q319" i="28"/>
  <c r="AR319" i="28"/>
  <c r="AS319" i="28"/>
  <c r="AT319" i="28"/>
  <c r="AU319" i="28"/>
  <c r="AV319" i="28"/>
  <c r="AW319" i="28"/>
  <c r="AX319" i="28"/>
  <c r="AY319" i="28"/>
  <c r="AZ319" i="28"/>
  <c r="BA319" i="28"/>
  <c r="BB319" i="28"/>
  <c r="BC319" i="28"/>
  <c r="BD319" i="28"/>
  <c r="BE319" i="28"/>
  <c r="BF319" i="28"/>
  <c r="BG319" i="28"/>
  <c r="BH319" i="28"/>
  <c r="BI319" i="28"/>
  <c r="BJ319" i="28"/>
  <c r="BK319" i="28"/>
  <c r="BL319" i="28"/>
  <c r="BM319" i="28"/>
  <c r="BN319" i="28"/>
  <c r="BO319" i="28"/>
  <c r="BP319" i="28"/>
  <c r="BQ319" i="28"/>
  <c r="BR319" i="28"/>
  <c r="BS319" i="28"/>
  <c r="BT319" i="28"/>
  <c r="BU319" i="28"/>
  <c r="BV319" i="28"/>
  <c r="BW319" i="28"/>
  <c r="BX319" i="28"/>
  <c r="BY319" i="28"/>
  <c r="BZ319" i="28"/>
  <c r="CA319" i="28"/>
  <c r="CB319" i="28"/>
  <c r="CC319" i="28"/>
  <c r="CD319" i="28"/>
  <c r="CE319" i="28"/>
  <c r="CF319" i="28"/>
  <c r="CG319" i="28"/>
  <c r="CH319" i="28"/>
  <c r="CI319" i="28"/>
  <c r="CJ319" i="28"/>
  <c r="CK319" i="28"/>
  <c r="CL319" i="28"/>
  <c r="CM319" i="28"/>
  <c r="CN319" i="28"/>
  <c r="CO319" i="28"/>
  <c r="CP319" i="28"/>
  <c r="CQ319" i="28"/>
  <c r="CR319" i="28"/>
  <c r="CS319" i="28"/>
  <c r="CT319" i="28"/>
  <c r="CU319" i="28"/>
  <c r="CV319" i="28"/>
  <c r="CW319" i="28"/>
  <c r="B320" i="28"/>
  <c r="C320" i="28"/>
  <c r="D320" i="28"/>
  <c r="E320" i="28"/>
  <c r="AZ9" i="32" s="1"/>
  <c r="F320" i="28"/>
  <c r="AZ11" i="32" s="1"/>
  <c r="G320" i="28"/>
  <c r="AZ13" i="32" s="1"/>
  <c r="H320" i="28"/>
  <c r="I320" i="28"/>
  <c r="AZ17" i="32" s="1"/>
  <c r="J320" i="28"/>
  <c r="AZ19" i="32" s="1"/>
  <c r="K320" i="28"/>
  <c r="AZ21" i="32" s="1"/>
  <c r="L320" i="28"/>
  <c r="AZ23" i="32" s="1"/>
  <c r="M320" i="28"/>
  <c r="AZ25" i="32" s="1"/>
  <c r="N320" i="28"/>
  <c r="AZ27" i="32" s="1"/>
  <c r="O320" i="28"/>
  <c r="AZ29" i="32" s="1"/>
  <c r="P320" i="28"/>
  <c r="AZ31" i="32" s="1"/>
  <c r="Q320" i="28"/>
  <c r="AZ33" i="32" s="1"/>
  <c r="R320" i="28"/>
  <c r="AZ35" i="32" s="1"/>
  <c r="S320" i="28"/>
  <c r="AZ37" i="32" s="1"/>
  <c r="T320" i="28"/>
  <c r="U320" i="28"/>
  <c r="V320" i="28"/>
  <c r="W320" i="28"/>
  <c r="X320" i="28"/>
  <c r="Y320" i="28"/>
  <c r="Z320" i="28"/>
  <c r="AA320" i="28"/>
  <c r="AB320" i="28"/>
  <c r="AC320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Q320" i="28"/>
  <c r="AR320" i="28"/>
  <c r="AS320" i="28"/>
  <c r="AT320" i="28"/>
  <c r="AU320" i="28"/>
  <c r="AV320" i="28"/>
  <c r="AW320" i="28"/>
  <c r="AX320" i="28"/>
  <c r="AY320" i="28"/>
  <c r="AZ320" i="28"/>
  <c r="BA320" i="28"/>
  <c r="BB320" i="28"/>
  <c r="BC320" i="28"/>
  <c r="BD320" i="28"/>
  <c r="BE320" i="28"/>
  <c r="BF320" i="28"/>
  <c r="BG320" i="28"/>
  <c r="BH320" i="28"/>
  <c r="BI320" i="28"/>
  <c r="BJ320" i="28"/>
  <c r="BK320" i="28"/>
  <c r="BL320" i="28"/>
  <c r="BM320" i="28"/>
  <c r="BN320" i="28"/>
  <c r="BO320" i="28"/>
  <c r="BP320" i="28"/>
  <c r="BQ320" i="28"/>
  <c r="BR320" i="28"/>
  <c r="BS320" i="28"/>
  <c r="BT320" i="28"/>
  <c r="BU320" i="28"/>
  <c r="BV320" i="28"/>
  <c r="BW320" i="28"/>
  <c r="BX320" i="28"/>
  <c r="BY320" i="28"/>
  <c r="BZ320" i="28"/>
  <c r="CA320" i="28"/>
  <c r="CB320" i="28"/>
  <c r="CC320" i="28"/>
  <c r="CD320" i="28"/>
  <c r="CE320" i="28"/>
  <c r="CF320" i="28"/>
  <c r="CG320" i="28"/>
  <c r="CH320" i="28"/>
  <c r="CI320" i="28"/>
  <c r="CJ320" i="28"/>
  <c r="CK320" i="28"/>
  <c r="CL320" i="28"/>
  <c r="CM320" i="28"/>
  <c r="CN320" i="28"/>
  <c r="CO320" i="28"/>
  <c r="CP320" i="28"/>
  <c r="CQ320" i="28"/>
  <c r="CR320" i="28"/>
  <c r="CS320" i="28"/>
  <c r="CT320" i="28"/>
  <c r="CU320" i="28"/>
  <c r="CV320" i="28"/>
  <c r="CW320" i="28"/>
  <c r="B321" i="28"/>
  <c r="C321" i="28"/>
  <c r="D321" i="28"/>
  <c r="E321" i="28"/>
  <c r="BA9" i="32" s="1"/>
  <c r="F321" i="28"/>
  <c r="BA11" i="32" s="1"/>
  <c r="G321" i="28"/>
  <c r="BA13" i="32" s="1"/>
  <c r="H321" i="28"/>
  <c r="I321" i="28"/>
  <c r="BA17" i="32" s="1"/>
  <c r="J321" i="28"/>
  <c r="BA19" i="32" s="1"/>
  <c r="K321" i="28"/>
  <c r="BA21" i="32" s="1"/>
  <c r="L321" i="28"/>
  <c r="BA23" i="32" s="1"/>
  <c r="M321" i="28"/>
  <c r="BA25" i="32" s="1"/>
  <c r="N321" i="28"/>
  <c r="BA27" i="32" s="1"/>
  <c r="O321" i="28"/>
  <c r="BA29" i="32" s="1"/>
  <c r="P321" i="28"/>
  <c r="BA31" i="32" s="1"/>
  <c r="Q321" i="28"/>
  <c r="BA33" i="32" s="1"/>
  <c r="R321" i="28"/>
  <c r="BA35" i="32" s="1"/>
  <c r="S321" i="28"/>
  <c r="BA37" i="32" s="1"/>
  <c r="T321" i="28"/>
  <c r="U321" i="28"/>
  <c r="V321" i="28"/>
  <c r="W321" i="28"/>
  <c r="X321" i="28"/>
  <c r="Y321" i="28"/>
  <c r="Z321" i="28"/>
  <c r="AA321" i="28"/>
  <c r="AB321" i="28"/>
  <c r="AC321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Q321" i="28"/>
  <c r="AR321" i="28"/>
  <c r="AS321" i="28"/>
  <c r="AT321" i="28"/>
  <c r="AU321" i="28"/>
  <c r="AV321" i="28"/>
  <c r="AW321" i="28"/>
  <c r="AX321" i="28"/>
  <c r="AY321" i="28"/>
  <c r="AZ321" i="28"/>
  <c r="BA321" i="28"/>
  <c r="BB321" i="28"/>
  <c r="BC321" i="28"/>
  <c r="BD321" i="28"/>
  <c r="BE321" i="28"/>
  <c r="BF321" i="28"/>
  <c r="BG321" i="28"/>
  <c r="BH321" i="28"/>
  <c r="BI321" i="28"/>
  <c r="BJ321" i="28"/>
  <c r="BK321" i="28"/>
  <c r="BL321" i="28"/>
  <c r="BM321" i="28"/>
  <c r="BN321" i="28"/>
  <c r="BO321" i="28"/>
  <c r="BP321" i="28"/>
  <c r="BQ321" i="28"/>
  <c r="BR321" i="28"/>
  <c r="BS321" i="28"/>
  <c r="BT321" i="28"/>
  <c r="BU321" i="28"/>
  <c r="BV321" i="28"/>
  <c r="BW321" i="28"/>
  <c r="BX321" i="28"/>
  <c r="BY321" i="28"/>
  <c r="BZ321" i="28"/>
  <c r="CA321" i="28"/>
  <c r="CB321" i="28"/>
  <c r="CC321" i="28"/>
  <c r="CD321" i="28"/>
  <c r="CE321" i="28"/>
  <c r="CF321" i="28"/>
  <c r="CG321" i="28"/>
  <c r="CH321" i="28"/>
  <c r="CI321" i="28"/>
  <c r="CJ321" i="28"/>
  <c r="CK321" i="28"/>
  <c r="CL321" i="28"/>
  <c r="CM321" i="28"/>
  <c r="CN321" i="28"/>
  <c r="CO321" i="28"/>
  <c r="CP321" i="28"/>
  <c r="CQ321" i="28"/>
  <c r="CR321" i="28"/>
  <c r="CS321" i="28"/>
  <c r="CT321" i="28"/>
  <c r="CU321" i="28"/>
  <c r="CV321" i="28"/>
  <c r="CW321" i="28"/>
  <c r="B322" i="28"/>
  <c r="C322" i="28"/>
  <c r="D322" i="28"/>
  <c r="E322" i="28"/>
  <c r="E9" i="32" s="1"/>
  <c r="F322" i="28"/>
  <c r="E11" i="32" s="1"/>
  <c r="G322" i="28"/>
  <c r="E13" i="32" s="1"/>
  <c r="H322" i="28"/>
  <c r="E15" i="32" s="1"/>
  <c r="I322" i="28"/>
  <c r="E17" i="32" s="1"/>
  <c r="J322" i="28"/>
  <c r="E19" i="32" s="1"/>
  <c r="K322" i="28"/>
  <c r="E21" i="32" s="1"/>
  <c r="L322" i="28"/>
  <c r="E23" i="32" s="1"/>
  <c r="M322" i="28"/>
  <c r="E25" i="32" s="1"/>
  <c r="N322" i="28"/>
  <c r="E27" i="32" s="1"/>
  <c r="O322" i="28"/>
  <c r="E29" i="32" s="1"/>
  <c r="P322" i="28"/>
  <c r="E31" i="32" s="1"/>
  <c r="Q322" i="28"/>
  <c r="E33" i="32" s="1"/>
  <c r="R322" i="28"/>
  <c r="E35" i="32" s="1"/>
  <c r="S322" i="28"/>
  <c r="E37" i="32" s="1"/>
  <c r="T322" i="28"/>
  <c r="U322" i="28"/>
  <c r="V322" i="28"/>
  <c r="W322" i="28"/>
  <c r="X322" i="28"/>
  <c r="Y322" i="28"/>
  <c r="Z322" i="28"/>
  <c r="AA322" i="28"/>
  <c r="AB322" i="28"/>
  <c r="AC322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Q322" i="28"/>
  <c r="AR322" i="28"/>
  <c r="AS322" i="28"/>
  <c r="AT322" i="28"/>
  <c r="AU322" i="28"/>
  <c r="AV322" i="28"/>
  <c r="AW322" i="28"/>
  <c r="AX322" i="28"/>
  <c r="AY322" i="28"/>
  <c r="AZ322" i="28"/>
  <c r="BA322" i="28"/>
  <c r="BB322" i="28"/>
  <c r="BC322" i="28"/>
  <c r="BD322" i="28"/>
  <c r="BE322" i="28"/>
  <c r="BF322" i="28"/>
  <c r="BG322" i="28"/>
  <c r="BH322" i="28"/>
  <c r="BI322" i="28"/>
  <c r="BJ322" i="28"/>
  <c r="BK322" i="28"/>
  <c r="BL322" i="28"/>
  <c r="BM322" i="28"/>
  <c r="BN322" i="28"/>
  <c r="BO322" i="28"/>
  <c r="BP322" i="28"/>
  <c r="BQ322" i="28"/>
  <c r="BR322" i="28"/>
  <c r="BS322" i="28"/>
  <c r="BT322" i="28"/>
  <c r="BU322" i="28"/>
  <c r="BV322" i="28"/>
  <c r="BW322" i="28"/>
  <c r="BX322" i="28"/>
  <c r="BY322" i="28"/>
  <c r="BZ322" i="28"/>
  <c r="CA322" i="28"/>
  <c r="CB322" i="28"/>
  <c r="CC322" i="28"/>
  <c r="CD322" i="28"/>
  <c r="CE322" i="28"/>
  <c r="CF322" i="28"/>
  <c r="CG322" i="28"/>
  <c r="CH322" i="28"/>
  <c r="CI322" i="28"/>
  <c r="CJ322" i="28"/>
  <c r="CK322" i="28"/>
  <c r="CL322" i="28"/>
  <c r="CM322" i="28"/>
  <c r="CN322" i="28"/>
  <c r="CO322" i="28"/>
  <c r="CP322" i="28"/>
  <c r="CQ322" i="28"/>
  <c r="CR322" i="28"/>
  <c r="CS322" i="28"/>
  <c r="CT322" i="28"/>
  <c r="CU322" i="28"/>
  <c r="CV322" i="28"/>
  <c r="CW322" i="28"/>
  <c r="B323" i="28"/>
  <c r="C323" i="28"/>
  <c r="D323" i="28"/>
  <c r="E323" i="28"/>
  <c r="I9" i="32" s="1"/>
  <c r="F323" i="28"/>
  <c r="I11" i="32" s="1"/>
  <c r="G323" i="28"/>
  <c r="I13" i="32" s="1"/>
  <c r="H323" i="28"/>
  <c r="I15" i="32" s="1"/>
  <c r="I323" i="28"/>
  <c r="I17" i="32" s="1"/>
  <c r="J323" i="28"/>
  <c r="I19" i="32" s="1"/>
  <c r="K323" i="28"/>
  <c r="I21" i="32" s="1"/>
  <c r="L323" i="28"/>
  <c r="I23" i="32" s="1"/>
  <c r="M323" i="28"/>
  <c r="I25" i="32" s="1"/>
  <c r="N323" i="28"/>
  <c r="I27" i="32" s="1"/>
  <c r="O323" i="28"/>
  <c r="I29" i="32" s="1"/>
  <c r="P323" i="28"/>
  <c r="I31" i="32" s="1"/>
  <c r="Q323" i="28"/>
  <c r="I33" i="32" s="1"/>
  <c r="R323" i="28"/>
  <c r="I35" i="32" s="1"/>
  <c r="S323" i="28"/>
  <c r="I37" i="32" s="1"/>
  <c r="T323" i="28"/>
  <c r="U323" i="28"/>
  <c r="V323" i="28"/>
  <c r="W323" i="28"/>
  <c r="X323" i="28"/>
  <c r="Y323" i="28"/>
  <c r="Z323" i="28"/>
  <c r="AA323" i="28"/>
  <c r="AB323" i="28"/>
  <c r="AC323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Q323" i="28"/>
  <c r="AR323" i="28"/>
  <c r="AS323" i="28"/>
  <c r="AT323" i="28"/>
  <c r="AU323" i="28"/>
  <c r="AV323" i="28"/>
  <c r="AW323" i="28"/>
  <c r="AX323" i="28"/>
  <c r="AY323" i="28"/>
  <c r="AZ323" i="28"/>
  <c r="BA323" i="28"/>
  <c r="BB323" i="28"/>
  <c r="BC323" i="28"/>
  <c r="BD323" i="28"/>
  <c r="BE323" i="28"/>
  <c r="BF323" i="28"/>
  <c r="BG323" i="28"/>
  <c r="BH323" i="28"/>
  <c r="BI323" i="28"/>
  <c r="BJ323" i="28"/>
  <c r="BK323" i="28"/>
  <c r="BL323" i="28"/>
  <c r="BM323" i="28"/>
  <c r="BN323" i="28"/>
  <c r="BO323" i="28"/>
  <c r="BP323" i="28"/>
  <c r="BQ323" i="28"/>
  <c r="BR323" i="28"/>
  <c r="BS323" i="28"/>
  <c r="BT323" i="28"/>
  <c r="BU323" i="28"/>
  <c r="BV323" i="28"/>
  <c r="BW323" i="28"/>
  <c r="BX323" i="28"/>
  <c r="BY323" i="28"/>
  <c r="BZ323" i="28"/>
  <c r="CA323" i="28"/>
  <c r="CB323" i="28"/>
  <c r="CC323" i="28"/>
  <c r="CD323" i="28"/>
  <c r="CE323" i="28"/>
  <c r="CF323" i="28"/>
  <c r="CG323" i="28"/>
  <c r="CH323" i="28"/>
  <c r="CI323" i="28"/>
  <c r="CJ323" i="28"/>
  <c r="CK323" i="28"/>
  <c r="CL323" i="28"/>
  <c r="CM323" i="28"/>
  <c r="CN323" i="28"/>
  <c r="CO323" i="28"/>
  <c r="CP323" i="28"/>
  <c r="CQ323" i="28"/>
  <c r="CR323" i="28"/>
  <c r="CS323" i="28"/>
  <c r="CT323" i="28"/>
  <c r="CU323" i="28"/>
  <c r="CV323" i="28"/>
  <c r="CW323" i="28"/>
  <c r="B324" i="28"/>
  <c r="C324" i="28"/>
  <c r="D324" i="28"/>
  <c r="E324" i="28"/>
  <c r="M9" i="32" s="1"/>
  <c r="F324" i="28"/>
  <c r="M11" i="32" s="1"/>
  <c r="G324" i="28"/>
  <c r="M13" i="32" s="1"/>
  <c r="H324" i="28"/>
  <c r="M15" i="32" s="1"/>
  <c r="I324" i="28"/>
  <c r="M17" i="32" s="1"/>
  <c r="J324" i="28"/>
  <c r="M19" i="32" s="1"/>
  <c r="K324" i="28"/>
  <c r="M21" i="32" s="1"/>
  <c r="L324" i="28"/>
  <c r="M23" i="32" s="1"/>
  <c r="M324" i="28"/>
  <c r="M25" i="32" s="1"/>
  <c r="N324" i="28"/>
  <c r="O324" i="28"/>
  <c r="M29" i="32" s="1"/>
  <c r="P324" i="28"/>
  <c r="M31" i="32" s="1"/>
  <c r="Q324" i="28"/>
  <c r="M33" i="32" s="1"/>
  <c r="R324" i="28"/>
  <c r="M35" i="32" s="1"/>
  <c r="S324" i="28"/>
  <c r="M37" i="32" s="1"/>
  <c r="T324" i="28"/>
  <c r="U324" i="28"/>
  <c r="V324" i="28"/>
  <c r="W324" i="28"/>
  <c r="X324" i="28"/>
  <c r="Y324" i="28"/>
  <c r="Z324" i="28"/>
  <c r="AA324" i="28"/>
  <c r="AB324" i="28"/>
  <c r="AC324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Q324" i="28"/>
  <c r="AR324" i="28"/>
  <c r="AS324" i="28"/>
  <c r="AT324" i="28"/>
  <c r="AU324" i="28"/>
  <c r="AV324" i="28"/>
  <c r="AW324" i="28"/>
  <c r="AX324" i="28"/>
  <c r="AY324" i="28"/>
  <c r="AZ324" i="28"/>
  <c r="BA324" i="28"/>
  <c r="BB324" i="28"/>
  <c r="BC324" i="28"/>
  <c r="BD324" i="28"/>
  <c r="BE324" i="28"/>
  <c r="BF324" i="28"/>
  <c r="BG324" i="28"/>
  <c r="BH324" i="28"/>
  <c r="BI324" i="28"/>
  <c r="BJ324" i="28"/>
  <c r="BK324" i="28"/>
  <c r="BL324" i="28"/>
  <c r="BM324" i="28"/>
  <c r="BN324" i="28"/>
  <c r="BO324" i="28"/>
  <c r="BP324" i="28"/>
  <c r="BQ324" i="28"/>
  <c r="BR324" i="28"/>
  <c r="BS324" i="28"/>
  <c r="BT324" i="28"/>
  <c r="BU324" i="28"/>
  <c r="BV324" i="28"/>
  <c r="BW324" i="28"/>
  <c r="BX324" i="28"/>
  <c r="BY324" i="28"/>
  <c r="BZ324" i="28"/>
  <c r="CA324" i="28"/>
  <c r="CB324" i="28"/>
  <c r="CC324" i="28"/>
  <c r="CD324" i="28"/>
  <c r="CE324" i="28"/>
  <c r="CF324" i="28"/>
  <c r="CG324" i="28"/>
  <c r="CH324" i="28"/>
  <c r="CI324" i="28"/>
  <c r="CJ324" i="28"/>
  <c r="CK324" i="28"/>
  <c r="CL324" i="28"/>
  <c r="CM324" i="28"/>
  <c r="CN324" i="28"/>
  <c r="CO324" i="28"/>
  <c r="CP324" i="28"/>
  <c r="CQ324" i="28"/>
  <c r="CR324" i="28"/>
  <c r="CS324" i="28"/>
  <c r="CT324" i="28"/>
  <c r="CU324" i="28"/>
  <c r="CV324" i="28"/>
  <c r="CW324" i="28"/>
  <c r="B325" i="28"/>
  <c r="C325" i="28"/>
  <c r="D325" i="28"/>
  <c r="E325" i="28"/>
  <c r="C9" i="32" s="1"/>
  <c r="F325" i="28"/>
  <c r="C11" i="32" s="1"/>
  <c r="G325" i="28"/>
  <c r="H325" i="28"/>
  <c r="C15" i="32" s="1"/>
  <c r="I325" i="28"/>
  <c r="C17" i="32" s="1"/>
  <c r="J325" i="28"/>
  <c r="C19" i="32" s="1"/>
  <c r="K325" i="28"/>
  <c r="C21" i="32" s="1"/>
  <c r="L325" i="28"/>
  <c r="C23" i="32" s="1"/>
  <c r="M325" i="28"/>
  <c r="C25" i="32" s="1"/>
  <c r="N325" i="28"/>
  <c r="C27" i="32" s="1"/>
  <c r="O325" i="28"/>
  <c r="C29" i="32" s="1"/>
  <c r="P325" i="28"/>
  <c r="C31" i="32" s="1"/>
  <c r="Q325" i="28"/>
  <c r="C33" i="32" s="1"/>
  <c r="R325" i="28"/>
  <c r="C35" i="32" s="1"/>
  <c r="S325" i="28"/>
  <c r="C37" i="32" s="1"/>
  <c r="T325" i="28"/>
  <c r="U325" i="28"/>
  <c r="V325" i="28"/>
  <c r="W325" i="28"/>
  <c r="X325" i="28"/>
  <c r="Y325" i="28"/>
  <c r="Z325" i="28"/>
  <c r="AA325" i="28"/>
  <c r="AB325" i="28"/>
  <c r="AC325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Q325" i="28"/>
  <c r="AR325" i="28"/>
  <c r="AS325" i="28"/>
  <c r="AT325" i="28"/>
  <c r="AU325" i="28"/>
  <c r="AV325" i="28"/>
  <c r="AW325" i="28"/>
  <c r="AX325" i="28"/>
  <c r="AY325" i="28"/>
  <c r="AZ325" i="28"/>
  <c r="BA325" i="28"/>
  <c r="BB325" i="28"/>
  <c r="BC325" i="28"/>
  <c r="BD325" i="28"/>
  <c r="BE325" i="28"/>
  <c r="BF325" i="28"/>
  <c r="BG325" i="28"/>
  <c r="BH325" i="28"/>
  <c r="BI325" i="28"/>
  <c r="BJ325" i="28"/>
  <c r="BK325" i="28"/>
  <c r="BL325" i="28"/>
  <c r="BM325" i="28"/>
  <c r="BN325" i="28"/>
  <c r="BO325" i="28"/>
  <c r="BP325" i="28"/>
  <c r="BQ325" i="28"/>
  <c r="BR325" i="28"/>
  <c r="BS325" i="28"/>
  <c r="BT325" i="28"/>
  <c r="BU325" i="28"/>
  <c r="BV325" i="28"/>
  <c r="BW325" i="28"/>
  <c r="BX325" i="28"/>
  <c r="BY325" i="28"/>
  <c r="BZ325" i="28"/>
  <c r="CA325" i="28"/>
  <c r="CB325" i="28"/>
  <c r="CC325" i="28"/>
  <c r="CD325" i="28"/>
  <c r="CE325" i="28"/>
  <c r="CF325" i="28"/>
  <c r="CG325" i="28"/>
  <c r="CH325" i="28"/>
  <c r="CI325" i="28"/>
  <c r="CJ325" i="28"/>
  <c r="CK325" i="28"/>
  <c r="CL325" i="28"/>
  <c r="CM325" i="28"/>
  <c r="CN325" i="28"/>
  <c r="CO325" i="28"/>
  <c r="CP325" i="28"/>
  <c r="CQ325" i="28"/>
  <c r="CR325" i="28"/>
  <c r="CS325" i="28"/>
  <c r="CT325" i="28"/>
  <c r="CU325" i="28"/>
  <c r="CV325" i="28"/>
  <c r="CW325" i="28"/>
  <c r="B326" i="28"/>
  <c r="C326" i="28"/>
  <c r="T5" i="32" s="1"/>
  <c r="D326" i="28"/>
  <c r="T7" i="32" s="1"/>
  <c r="E326" i="28"/>
  <c r="T9" i="32" s="1"/>
  <c r="F326" i="28"/>
  <c r="T11" i="32" s="1"/>
  <c r="G326" i="28"/>
  <c r="T13" i="32" s="1"/>
  <c r="H326" i="28"/>
  <c r="T15" i="32" s="1"/>
  <c r="I326" i="28"/>
  <c r="T17" i="32" s="1"/>
  <c r="J326" i="28"/>
  <c r="T19" i="32" s="1"/>
  <c r="K326" i="28"/>
  <c r="T21" i="32" s="1"/>
  <c r="L326" i="28"/>
  <c r="T23" i="32" s="1"/>
  <c r="M326" i="28"/>
  <c r="N326" i="28"/>
  <c r="O326" i="28"/>
  <c r="T29" i="32" s="1"/>
  <c r="P326" i="28"/>
  <c r="T31" i="32" s="1"/>
  <c r="Q326" i="28"/>
  <c r="T33" i="32" s="1"/>
  <c r="R326" i="28"/>
  <c r="T35" i="32" s="1"/>
  <c r="S326" i="28"/>
  <c r="T37" i="32" s="1"/>
  <c r="T326" i="28"/>
  <c r="U326" i="28"/>
  <c r="V326" i="28"/>
  <c r="W326" i="28"/>
  <c r="X326" i="28"/>
  <c r="Y326" i="28"/>
  <c r="Z326" i="28"/>
  <c r="AA326" i="28"/>
  <c r="AB326" i="28"/>
  <c r="AC326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Q326" i="28"/>
  <c r="AR326" i="28"/>
  <c r="AS326" i="28"/>
  <c r="AT326" i="28"/>
  <c r="AU326" i="28"/>
  <c r="AV326" i="28"/>
  <c r="AW326" i="28"/>
  <c r="AX326" i="28"/>
  <c r="AY326" i="28"/>
  <c r="AZ326" i="28"/>
  <c r="BA326" i="28"/>
  <c r="BB326" i="28"/>
  <c r="BC326" i="28"/>
  <c r="BD326" i="28"/>
  <c r="BE326" i="28"/>
  <c r="BF326" i="28"/>
  <c r="BG326" i="28"/>
  <c r="BH326" i="28"/>
  <c r="BI326" i="28"/>
  <c r="BJ326" i="28"/>
  <c r="BK326" i="28"/>
  <c r="BL326" i="28"/>
  <c r="BM326" i="28"/>
  <c r="BN326" i="28"/>
  <c r="BO326" i="28"/>
  <c r="BP326" i="28"/>
  <c r="BQ326" i="28"/>
  <c r="BR326" i="28"/>
  <c r="BS326" i="28"/>
  <c r="BT326" i="28"/>
  <c r="BU326" i="28"/>
  <c r="BV326" i="28"/>
  <c r="BW326" i="28"/>
  <c r="BX326" i="28"/>
  <c r="BY326" i="28"/>
  <c r="BZ326" i="28"/>
  <c r="CA326" i="28"/>
  <c r="CB326" i="28"/>
  <c r="CC326" i="28"/>
  <c r="CD326" i="28"/>
  <c r="CE326" i="28"/>
  <c r="CF326" i="28"/>
  <c r="CG326" i="28"/>
  <c r="CH326" i="28"/>
  <c r="CI326" i="28"/>
  <c r="CJ326" i="28"/>
  <c r="CK326" i="28"/>
  <c r="CL326" i="28"/>
  <c r="CM326" i="28"/>
  <c r="CN326" i="28"/>
  <c r="CO326" i="28"/>
  <c r="CP326" i="28"/>
  <c r="CQ326" i="28"/>
  <c r="CR326" i="28"/>
  <c r="CS326" i="28"/>
  <c r="CT326" i="28"/>
  <c r="CU326" i="28"/>
  <c r="CV326" i="28"/>
  <c r="CW326" i="28"/>
  <c r="B327" i="28"/>
  <c r="C327" i="28"/>
  <c r="D327" i="28"/>
  <c r="E327" i="28"/>
  <c r="F327" i="28"/>
  <c r="G327" i="28"/>
  <c r="B13" i="32" s="1"/>
  <c r="H327" i="28"/>
  <c r="B15" i="32" s="1"/>
  <c r="I327" i="28"/>
  <c r="B17" i="32" s="1"/>
  <c r="J327" i="28"/>
  <c r="B19" i="32" s="1"/>
  <c r="K327" i="28"/>
  <c r="B21" i="32" s="1"/>
  <c r="L327" i="28"/>
  <c r="B23" i="32" s="1"/>
  <c r="M327" i="28"/>
  <c r="B25" i="32" s="1"/>
  <c r="N327" i="28"/>
  <c r="B27" i="32" s="1"/>
  <c r="O327" i="28"/>
  <c r="B29" i="32" s="1"/>
  <c r="P327" i="28"/>
  <c r="B31" i="32" s="1"/>
  <c r="Q327" i="28"/>
  <c r="B33" i="32" s="1"/>
  <c r="R327" i="28"/>
  <c r="B35" i="32" s="1"/>
  <c r="S327" i="28"/>
  <c r="B37" i="32" s="1"/>
  <c r="T327" i="28"/>
  <c r="U327" i="28"/>
  <c r="V327" i="28"/>
  <c r="W327" i="28"/>
  <c r="X327" i="28"/>
  <c r="Y327" i="28"/>
  <c r="Z327" i="28"/>
  <c r="AA327" i="28"/>
  <c r="AB327" i="28"/>
  <c r="AC327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Q327" i="28"/>
  <c r="AR327" i="28"/>
  <c r="AS327" i="28"/>
  <c r="AT327" i="28"/>
  <c r="AU327" i="28"/>
  <c r="AV327" i="28"/>
  <c r="AW327" i="28"/>
  <c r="AX327" i="28"/>
  <c r="AY327" i="28"/>
  <c r="AZ327" i="28"/>
  <c r="BA327" i="28"/>
  <c r="BB327" i="28"/>
  <c r="BC327" i="28"/>
  <c r="BD327" i="28"/>
  <c r="BE327" i="28"/>
  <c r="BF327" i="28"/>
  <c r="BG327" i="28"/>
  <c r="BH327" i="28"/>
  <c r="BI327" i="28"/>
  <c r="BJ327" i="28"/>
  <c r="BK327" i="28"/>
  <c r="BL327" i="28"/>
  <c r="BM327" i="28"/>
  <c r="BN327" i="28"/>
  <c r="BO327" i="28"/>
  <c r="BP327" i="28"/>
  <c r="BQ327" i="28"/>
  <c r="BR327" i="28"/>
  <c r="BS327" i="28"/>
  <c r="BT327" i="28"/>
  <c r="BU327" i="28"/>
  <c r="BV327" i="28"/>
  <c r="BW327" i="28"/>
  <c r="BX327" i="28"/>
  <c r="BY327" i="28"/>
  <c r="BZ327" i="28"/>
  <c r="CA327" i="28"/>
  <c r="CB327" i="28"/>
  <c r="CC327" i="28"/>
  <c r="CD327" i="28"/>
  <c r="CE327" i="28"/>
  <c r="CF327" i="28"/>
  <c r="CG327" i="28"/>
  <c r="CH327" i="28"/>
  <c r="CI327" i="28"/>
  <c r="CJ327" i="28"/>
  <c r="CK327" i="28"/>
  <c r="CL327" i="28"/>
  <c r="CM327" i="28"/>
  <c r="CN327" i="28"/>
  <c r="CO327" i="28"/>
  <c r="CP327" i="28"/>
  <c r="CQ327" i="28"/>
  <c r="CR327" i="28"/>
  <c r="CS327" i="28"/>
  <c r="CT327" i="28"/>
  <c r="CU327" i="28"/>
  <c r="CV327" i="28"/>
  <c r="CW327" i="28"/>
  <c r="B328" i="28"/>
  <c r="C328" i="28"/>
  <c r="D328" i="28"/>
  <c r="E328" i="28"/>
  <c r="H9" i="32" s="1"/>
  <c r="F328" i="28"/>
  <c r="H11" i="32" s="1"/>
  <c r="G328" i="28"/>
  <c r="H13" i="32" s="1"/>
  <c r="H328" i="28"/>
  <c r="H15" i="32" s="1"/>
  <c r="I328" i="28"/>
  <c r="J328" i="28"/>
  <c r="H19" i="32" s="1"/>
  <c r="K328" i="28"/>
  <c r="H21" i="32" s="1"/>
  <c r="L328" i="28"/>
  <c r="H23" i="32" s="1"/>
  <c r="M328" i="28"/>
  <c r="H25" i="32" s="1"/>
  <c r="N328" i="28"/>
  <c r="H27" i="32" s="1"/>
  <c r="O328" i="28"/>
  <c r="H29" i="32" s="1"/>
  <c r="P328" i="28"/>
  <c r="H31" i="32" s="1"/>
  <c r="Q328" i="28"/>
  <c r="H33" i="32" s="1"/>
  <c r="R328" i="28"/>
  <c r="H35" i="32" s="1"/>
  <c r="S328" i="28"/>
  <c r="H37" i="32" s="1"/>
  <c r="T328" i="28"/>
  <c r="U328" i="28"/>
  <c r="V328" i="28"/>
  <c r="W328" i="28"/>
  <c r="X328" i="28"/>
  <c r="Y328" i="28"/>
  <c r="Z328" i="28"/>
  <c r="AA328" i="28"/>
  <c r="AB328" i="28"/>
  <c r="AC328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Q328" i="28"/>
  <c r="AR328" i="28"/>
  <c r="AS328" i="28"/>
  <c r="AT328" i="28"/>
  <c r="AU328" i="28"/>
  <c r="AV328" i="28"/>
  <c r="AW328" i="28"/>
  <c r="AX328" i="28"/>
  <c r="AY328" i="28"/>
  <c r="AZ328" i="28"/>
  <c r="BA328" i="28"/>
  <c r="BB328" i="28"/>
  <c r="BC328" i="28"/>
  <c r="BD328" i="28"/>
  <c r="BE328" i="28"/>
  <c r="BF328" i="28"/>
  <c r="BG328" i="28"/>
  <c r="BH328" i="28"/>
  <c r="BI328" i="28"/>
  <c r="BJ328" i="28"/>
  <c r="BK328" i="28"/>
  <c r="BL328" i="28"/>
  <c r="BM328" i="28"/>
  <c r="BN328" i="28"/>
  <c r="BO328" i="28"/>
  <c r="BP328" i="28"/>
  <c r="BQ328" i="28"/>
  <c r="BR328" i="28"/>
  <c r="BS328" i="28"/>
  <c r="BT328" i="28"/>
  <c r="BU328" i="28"/>
  <c r="BV328" i="28"/>
  <c r="BW328" i="28"/>
  <c r="BX328" i="28"/>
  <c r="BY328" i="28"/>
  <c r="BZ328" i="28"/>
  <c r="CA328" i="28"/>
  <c r="CB328" i="28"/>
  <c r="CC328" i="28"/>
  <c r="CD328" i="28"/>
  <c r="CE328" i="28"/>
  <c r="CF328" i="28"/>
  <c r="CG328" i="28"/>
  <c r="CH328" i="28"/>
  <c r="CI328" i="28"/>
  <c r="CJ328" i="28"/>
  <c r="CK328" i="28"/>
  <c r="CL328" i="28"/>
  <c r="CM328" i="28"/>
  <c r="CN328" i="28"/>
  <c r="CO328" i="28"/>
  <c r="CP328" i="28"/>
  <c r="CQ328" i="28"/>
  <c r="CR328" i="28"/>
  <c r="CS328" i="28"/>
  <c r="CT328" i="28"/>
  <c r="CU328" i="28"/>
  <c r="CV328" i="28"/>
  <c r="CW328" i="28"/>
  <c r="B329" i="28"/>
  <c r="C329" i="28"/>
  <c r="D329" i="28"/>
  <c r="E329" i="28"/>
  <c r="G9" i="32" s="1"/>
  <c r="F329" i="28"/>
  <c r="G11" i="32" s="1"/>
  <c r="G329" i="28"/>
  <c r="G13" i="32" s="1"/>
  <c r="H329" i="28"/>
  <c r="G15" i="32" s="1"/>
  <c r="I329" i="28"/>
  <c r="G17" i="32" s="1"/>
  <c r="J329" i="28"/>
  <c r="G19" i="32" s="1"/>
  <c r="K329" i="28"/>
  <c r="G21" i="32" s="1"/>
  <c r="L329" i="28"/>
  <c r="G23" i="32" s="1"/>
  <c r="M329" i="28"/>
  <c r="G25" i="32" s="1"/>
  <c r="N329" i="28"/>
  <c r="G27" i="32" s="1"/>
  <c r="O329" i="28"/>
  <c r="G29" i="32" s="1"/>
  <c r="P329" i="28"/>
  <c r="G31" i="32" s="1"/>
  <c r="Q329" i="28"/>
  <c r="G33" i="32" s="1"/>
  <c r="R329" i="28"/>
  <c r="G35" i="32" s="1"/>
  <c r="S329" i="28"/>
  <c r="G37" i="32" s="1"/>
  <c r="T329" i="28"/>
  <c r="U329" i="28"/>
  <c r="V329" i="28"/>
  <c r="W329" i="28"/>
  <c r="X329" i="28"/>
  <c r="Y329" i="28"/>
  <c r="Z329" i="28"/>
  <c r="AA329" i="28"/>
  <c r="AB329" i="28"/>
  <c r="AC329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Q329" i="28"/>
  <c r="AR329" i="28"/>
  <c r="AS329" i="28"/>
  <c r="AT329" i="28"/>
  <c r="AU329" i="28"/>
  <c r="AV329" i="28"/>
  <c r="AW329" i="28"/>
  <c r="AX329" i="28"/>
  <c r="AY329" i="28"/>
  <c r="AZ329" i="28"/>
  <c r="BA329" i="28"/>
  <c r="BB329" i="28"/>
  <c r="BC329" i="28"/>
  <c r="BD329" i="28"/>
  <c r="BE329" i="28"/>
  <c r="BF329" i="28"/>
  <c r="BG329" i="28"/>
  <c r="BH329" i="28"/>
  <c r="BI329" i="28"/>
  <c r="BJ329" i="28"/>
  <c r="BK329" i="28"/>
  <c r="BL329" i="28"/>
  <c r="BM329" i="28"/>
  <c r="BN329" i="28"/>
  <c r="BO329" i="28"/>
  <c r="BP329" i="28"/>
  <c r="BQ329" i="28"/>
  <c r="BR329" i="28"/>
  <c r="BS329" i="28"/>
  <c r="BT329" i="28"/>
  <c r="BU329" i="28"/>
  <c r="BV329" i="28"/>
  <c r="BW329" i="28"/>
  <c r="BX329" i="28"/>
  <c r="BY329" i="28"/>
  <c r="BZ329" i="28"/>
  <c r="CA329" i="28"/>
  <c r="CB329" i="28"/>
  <c r="CC329" i="28"/>
  <c r="CD329" i="28"/>
  <c r="CE329" i="28"/>
  <c r="CF329" i="28"/>
  <c r="CG329" i="28"/>
  <c r="CH329" i="28"/>
  <c r="CI329" i="28"/>
  <c r="CJ329" i="28"/>
  <c r="CK329" i="28"/>
  <c r="CL329" i="28"/>
  <c r="CM329" i="28"/>
  <c r="CN329" i="28"/>
  <c r="CO329" i="28"/>
  <c r="CP329" i="28"/>
  <c r="CQ329" i="28"/>
  <c r="CR329" i="28"/>
  <c r="CS329" i="28"/>
  <c r="CT329" i="28"/>
  <c r="CU329" i="28"/>
  <c r="CV329" i="28"/>
  <c r="CW329" i="28"/>
  <c r="B330" i="28"/>
  <c r="C330" i="28"/>
  <c r="D330" i="28"/>
  <c r="E330" i="28"/>
  <c r="D9" i="32" s="1"/>
  <c r="F330" i="28"/>
  <c r="D11" i="32" s="1"/>
  <c r="G330" i="28"/>
  <c r="D13" i="32" s="1"/>
  <c r="H330" i="28"/>
  <c r="D15" i="32" s="1"/>
  <c r="I330" i="28"/>
  <c r="D17" i="32" s="1"/>
  <c r="J330" i="28"/>
  <c r="D19" i="32" s="1"/>
  <c r="K330" i="28"/>
  <c r="D21" i="32" s="1"/>
  <c r="L330" i="28"/>
  <c r="D23" i="32" s="1"/>
  <c r="M330" i="28"/>
  <c r="D25" i="32" s="1"/>
  <c r="N330" i="28"/>
  <c r="D27" i="32" s="1"/>
  <c r="O330" i="28"/>
  <c r="D29" i="32" s="1"/>
  <c r="P330" i="28"/>
  <c r="D31" i="32" s="1"/>
  <c r="Q330" i="28"/>
  <c r="D33" i="32" s="1"/>
  <c r="R330" i="28"/>
  <c r="D35" i="32" s="1"/>
  <c r="S330" i="28"/>
  <c r="D37" i="32" s="1"/>
  <c r="T330" i="28"/>
  <c r="U330" i="28"/>
  <c r="V330" i="28"/>
  <c r="W330" i="28"/>
  <c r="X330" i="28"/>
  <c r="Y330" i="28"/>
  <c r="Z330" i="28"/>
  <c r="AA330" i="28"/>
  <c r="AB330" i="28"/>
  <c r="AC330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Q330" i="28"/>
  <c r="AR330" i="28"/>
  <c r="AS330" i="28"/>
  <c r="AT330" i="28"/>
  <c r="AU330" i="28"/>
  <c r="AV330" i="28"/>
  <c r="AW330" i="28"/>
  <c r="AX330" i="28"/>
  <c r="AY330" i="28"/>
  <c r="AZ330" i="28"/>
  <c r="BA330" i="28"/>
  <c r="BB330" i="28"/>
  <c r="BC330" i="28"/>
  <c r="BD330" i="28"/>
  <c r="BE330" i="28"/>
  <c r="BF330" i="28"/>
  <c r="BG330" i="28"/>
  <c r="BH330" i="28"/>
  <c r="BI330" i="28"/>
  <c r="BJ330" i="28"/>
  <c r="BK330" i="28"/>
  <c r="BL330" i="28"/>
  <c r="BM330" i="28"/>
  <c r="BN330" i="28"/>
  <c r="BO330" i="28"/>
  <c r="BP330" i="28"/>
  <c r="BQ330" i="28"/>
  <c r="BR330" i="28"/>
  <c r="BS330" i="28"/>
  <c r="BT330" i="28"/>
  <c r="BU330" i="28"/>
  <c r="BV330" i="28"/>
  <c r="BW330" i="28"/>
  <c r="BX330" i="28"/>
  <c r="BY330" i="28"/>
  <c r="BZ330" i="28"/>
  <c r="CA330" i="28"/>
  <c r="CB330" i="28"/>
  <c r="CC330" i="28"/>
  <c r="CD330" i="28"/>
  <c r="CE330" i="28"/>
  <c r="CF330" i="28"/>
  <c r="CG330" i="28"/>
  <c r="CH330" i="28"/>
  <c r="CI330" i="28"/>
  <c r="CJ330" i="28"/>
  <c r="CK330" i="28"/>
  <c r="CL330" i="28"/>
  <c r="CM330" i="28"/>
  <c r="CN330" i="28"/>
  <c r="CO330" i="28"/>
  <c r="CP330" i="28"/>
  <c r="CQ330" i="28"/>
  <c r="CR330" i="28"/>
  <c r="CS330" i="28"/>
  <c r="CT330" i="28"/>
  <c r="CU330" i="28"/>
  <c r="CV330" i="28"/>
  <c r="CW330" i="28"/>
  <c r="B331" i="28"/>
  <c r="C331" i="28"/>
  <c r="D331" i="28"/>
  <c r="E331" i="28"/>
  <c r="F9" i="32" s="1"/>
  <c r="F331" i="28"/>
  <c r="F11" i="32" s="1"/>
  <c r="G331" i="28"/>
  <c r="F13" i="32" s="1"/>
  <c r="H331" i="28"/>
  <c r="I331" i="28"/>
  <c r="F17" i="32" s="1"/>
  <c r="J331" i="28"/>
  <c r="F19" i="32" s="1"/>
  <c r="K331" i="28"/>
  <c r="F21" i="32" s="1"/>
  <c r="L331" i="28"/>
  <c r="F23" i="32" s="1"/>
  <c r="M331" i="28"/>
  <c r="F25" i="32" s="1"/>
  <c r="N331" i="28"/>
  <c r="F27" i="32" s="1"/>
  <c r="O331" i="28"/>
  <c r="F29" i="32" s="1"/>
  <c r="P331" i="28"/>
  <c r="F31" i="32" s="1"/>
  <c r="Q331" i="28"/>
  <c r="F33" i="32" s="1"/>
  <c r="R331" i="28"/>
  <c r="F35" i="32" s="1"/>
  <c r="S331" i="28"/>
  <c r="F37" i="32" s="1"/>
  <c r="T331" i="28"/>
  <c r="U331" i="28"/>
  <c r="V331" i="28"/>
  <c r="W331" i="28"/>
  <c r="X331" i="28"/>
  <c r="Y331" i="28"/>
  <c r="Z331" i="28"/>
  <c r="AA331" i="28"/>
  <c r="AB331" i="28"/>
  <c r="AC331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Q331" i="28"/>
  <c r="AR331" i="28"/>
  <c r="AS331" i="28"/>
  <c r="AT331" i="28"/>
  <c r="AU331" i="28"/>
  <c r="AV331" i="28"/>
  <c r="AW331" i="28"/>
  <c r="AX331" i="28"/>
  <c r="AY331" i="28"/>
  <c r="AZ331" i="28"/>
  <c r="BA331" i="28"/>
  <c r="BB331" i="28"/>
  <c r="BC331" i="28"/>
  <c r="BD331" i="28"/>
  <c r="BE331" i="28"/>
  <c r="BF331" i="28"/>
  <c r="BG331" i="28"/>
  <c r="BH331" i="28"/>
  <c r="BI331" i="28"/>
  <c r="BJ331" i="28"/>
  <c r="BK331" i="28"/>
  <c r="BL331" i="28"/>
  <c r="BM331" i="28"/>
  <c r="BN331" i="28"/>
  <c r="BO331" i="28"/>
  <c r="BP331" i="28"/>
  <c r="BQ331" i="28"/>
  <c r="BR331" i="28"/>
  <c r="BS331" i="28"/>
  <c r="BT331" i="28"/>
  <c r="BU331" i="28"/>
  <c r="BV331" i="28"/>
  <c r="BW331" i="28"/>
  <c r="BX331" i="28"/>
  <c r="BY331" i="28"/>
  <c r="BZ331" i="28"/>
  <c r="CA331" i="28"/>
  <c r="CB331" i="28"/>
  <c r="CC331" i="28"/>
  <c r="CD331" i="28"/>
  <c r="CE331" i="28"/>
  <c r="CF331" i="28"/>
  <c r="CG331" i="28"/>
  <c r="CH331" i="28"/>
  <c r="CI331" i="28"/>
  <c r="CJ331" i="28"/>
  <c r="CK331" i="28"/>
  <c r="CL331" i="28"/>
  <c r="CM331" i="28"/>
  <c r="CN331" i="28"/>
  <c r="CO331" i="28"/>
  <c r="CP331" i="28"/>
  <c r="CQ331" i="28"/>
  <c r="CR331" i="28"/>
  <c r="CS331" i="28"/>
  <c r="CT331" i="28"/>
  <c r="CU331" i="28"/>
  <c r="CV331" i="28"/>
  <c r="CW331" i="28"/>
  <c r="B332" i="28"/>
  <c r="C332" i="28"/>
  <c r="P5" i="32" s="1"/>
  <c r="D332" i="28"/>
  <c r="P7" i="32" s="1"/>
  <c r="E332" i="28"/>
  <c r="P9" i="32" s="1"/>
  <c r="F332" i="28"/>
  <c r="G332" i="28"/>
  <c r="H332" i="28"/>
  <c r="I332" i="28"/>
  <c r="P17" i="32" s="1"/>
  <c r="J332" i="28"/>
  <c r="K332" i="28"/>
  <c r="L332" i="28"/>
  <c r="P23" i="32" s="1"/>
  <c r="M332" i="28"/>
  <c r="P25" i="32" s="1"/>
  <c r="N332" i="28"/>
  <c r="O332" i="28"/>
  <c r="P29" i="32" s="1"/>
  <c r="P332" i="28"/>
  <c r="P31" i="32" s="1"/>
  <c r="Q332" i="28"/>
  <c r="P33" i="32" s="1"/>
  <c r="R332" i="28"/>
  <c r="P35" i="32" s="1"/>
  <c r="S332" i="28"/>
  <c r="P37" i="32" s="1"/>
  <c r="T332" i="28"/>
  <c r="U332" i="28"/>
  <c r="V332" i="28"/>
  <c r="W332" i="28"/>
  <c r="X332" i="28"/>
  <c r="Y332" i="28"/>
  <c r="Z332" i="28"/>
  <c r="AA332" i="28"/>
  <c r="AB332" i="28"/>
  <c r="AC332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Q332" i="28"/>
  <c r="AR332" i="28"/>
  <c r="AS332" i="28"/>
  <c r="AT332" i="28"/>
  <c r="AU332" i="28"/>
  <c r="AV332" i="28"/>
  <c r="AW332" i="28"/>
  <c r="AX332" i="28"/>
  <c r="AY332" i="28"/>
  <c r="AZ332" i="28"/>
  <c r="BA332" i="28"/>
  <c r="BB332" i="28"/>
  <c r="BC332" i="28"/>
  <c r="BD332" i="28"/>
  <c r="BE332" i="28"/>
  <c r="BF332" i="28"/>
  <c r="BG332" i="28"/>
  <c r="BH332" i="28"/>
  <c r="BI332" i="28"/>
  <c r="BJ332" i="28"/>
  <c r="BK332" i="28"/>
  <c r="BL332" i="28"/>
  <c r="BM332" i="28"/>
  <c r="BN332" i="28"/>
  <c r="BO332" i="28"/>
  <c r="BP332" i="28"/>
  <c r="BQ332" i="28"/>
  <c r="BR332" i="28"/>
  <c r="BS332" i="28"/>
  <c r="BT332" i="28"/>
  <c r="BU332" i="28"/>
  <c r="BV332" i="28"/>
  <c r="BW332" i="28"/>
  <c r="BX332" i="28"/>
  <c r="BY332" i="28"/>
  <c r="BZ332" i="28"/>
  <c r="CA332" i="28"/>
  <c r="CB332" i="28"/>
  <c r="CC332" i="28"/>
  <c r="CD332" i="28"/>
  <c r="CE332" i="28"/>
  <c r="CF332" i="28"/>
  <c r="CG332" i="28"/>
  <c r="CH332" i="28"/>
  <c r="CI332" i="28"/>
  <c r="CJ332" i="28"/>
  <c r="CK332" i="28"/>
  <c r="CL332" i="28"/>
  <c r="CM332" i="28"/>
  <c r="CN332" i="28"/>
  <c r="CO332" i="28"/>
  <c r="CP332" i="28"/>
  <c r="CQ332" i="28"/>
  <c r="CR332" i="28"/>
  <c r="CS332" i="28"/>
  <c r="CT332" i="28"/>
  <c r="CU332" i="28"/>
  <c r="CV332" i="28"/>
  <c r="CW332" i="28"/>
  <c r="B333" i="28"/>
  <c r="C333" i="28"/>
  <c r="D333" i="28"/>
  <c r="E333" i="28"/>
  <c r="L9" i="32" s="1"/>
  <c r="F333" i="28"/>
  <c r="L11" i="32" s="1"/>
  <c r="G333" i="28"/>
  <c r="L13" i="32" s="1"/>
  <c r="H333" i="28"/>
  <c r="L15" i="32" s="1"/>
  <c r="I333" i="28"/>
  <c r="L17" i="32" s="1"/>
  <c r="J333" i="28"/>
  <c r="L19" i="32" s="1"/>
  <c r="K333" i="28"/>
  <c r="L333" i="28"/>
  <c r="M333" i="28"/>
  <c r="N333" i="28"/>
  <c r="L27" i="32" s="1"/>
  <c r="O333" i="28"/>
  <c r="L29" i="32" s="1"/>
  <c r="P333" i="28"/>
  <c r="L31" i="32" s="1"/>
  <c r="Q333" i="28"/>
  <c r="L33" i="32" s="1"/>
  <c r="R333" i="28"/>
  <c r="L35" i="32" s="1"/>
  <c r="S333" i="28"/>
  <c r="L37" i="32" s="1"/>
  <c r="T333" i="28"/>
  <c r="U333" i="28"/>
  <c r="V333" i="28"/>
  <c r="W333" i="28"/>
  <c r="X333" i="28"/>
  <c r="Y333" i="28"/>
  <c r="Z333" i="28"/>
  <c r="AA333" i="28"/>
  <c r="AB333" i="28"/>
  <c r="AC333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Q333" i="28"/>
  <c r="AR333" i="28"/>
  <c r="AS333" i="28"/>
  <c r="AT333" i="28"/>
  <c r="AU333" i="28"/>
  <c r="AV333" i="28"/>
  <c r="AW333" i="28"/>
  <c r="AX333" i="28"/>
  <c r="AY333" i="28"/>
  <c r="AZ333" i="28"/>
  <c r="BA333" i="28"/>
  <c r="BB333" i="28"/>
  <c r="BC333" i="28"/>
  <c r="BD333" i="28"/>
  <c r="BE333" i="28"/>
  <c r="BF333" i="28"/>
  <c r="BG333" i="28"/>
  <c r="BH333" i="28"/>
  <c r="BI333" i="28"/>
  <c r="BJ333" i="28"/>
  <c r="BK333" i="28"/>
  <c r="BL333" i="28"/>
  <c r="BM333" i="28"/>
  <c r="BN333" i="28"/>
  <c r="BO333" i="28"/>
  <c r="BP333" i="28"/>
  <c r="BQ333" i="28"/>
  <c r="BR333" i="28"/>
  <c r="BS333" i="28"/>
  <c r="BT333" i="28"/>
  <c r="BU333" i="28"/>
  <c r="BV333" i="28"/>
  <c r="BW333" i="28"/>
  <c r="BX333" i="28"/>
  <c r="BY333" i="28"/>
  <c r="BZ333" i="28"/>
  <c r="CA333" i="28"/>
  <c r="CB333" i="28"/>
  <c r="CC333" i="28"/>
  <c r="CD333" i="28"/>
  <c r="CE333" i="28"/>
  <c r="CF333" i="28"/>
  <c r="CG333" i="28"/>
  <c r="CH333" i="28"/>
  <c r="CI333" i="28"/>
  <c r="CJ333" i="28"/>
  <c r="CK333" i="28"/>
  <c r="CL333" i="28"/>
  <c r="CM333" i="28"/>
  <c r="CN333" i="28"/>
  <c r="CO333" i="28"/>
  <c r="CP333" i="28"/>
  <c r="CQ333" i="28"/>
  <c r="CR333" i="28"/>
  <c r="CS333" i="28"/>
  <c r="CT333" i="28"/>
  <c r="CU333" i="28"/>
  <c r="CV333" i="28"/>
  <c r="CW333" i="28"/>
  <c r="B334" i="28"/>
  <c r="C334" i="28"/>
  <c r="D334" i="28"/>
  <c r="E334" i="28"/>
  <c r="K9" i="32" s="1"/>
  <c r="F334" i="28"/>
  <c r="K11" i="32" s="1"/>
  <c r="G334" i="28"/>
  <c r="K13" i="32" s="1"/>
  <c r="H334" i="28"/>
  <c r="K15" i="32" s="1"/>
  <c r="I334" i="28"/>
  <c r="K17" i="32" s="1"/>
  <c r="J334" i="28"/>
  <c r="K19" i="32" s="1"/>
  <c r="K334" i="28"/>
  <c r="K21" i="32" s="1"/>
  <c r="L334" i="28"/>
  <c r="K23" i="32" s="1"/>
  <c r="M334" i="28"/>
  <c r="K25" i="32" s="1"/>
  <c r="N334" i="28"/>
  <c r="K27" i="32" s="1"/>
  <c r="O334" i="28"/>
  <c r="K29" i="32" s="1"/>
  <c r="P334" i="28"/>
  <c r="K31" i="32" s="1"/>
  <c r="Q334" i="28"/>
  <c r="K33" i="32" s="1"/>
  <c r="R334" i="28"/>
  <c r="K35" i="32" s="1"/>
  <c r="S334" i="28"/>
  <c r="K37" i="32" s="1"/>
  <c r="T334" i="28"/>
  <c r="U334" i="28"/>
  <c r="V334" i="28"/>
  <c r="W334" i="28"/>
  <c r="X334" i="28"/>
  <c r="Y334" i="28"/>
  <c r="Z334" i="28"/>
  <c r="AA334" i="28"/>
  <c r="AB334" i="28"/>
  <c r="AC334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Q334" i="28"/>
  <c r="AR334" i="28"/>
  <c r="AS334" i="28"/>
  <c r="AT334" i="28"/>
  <c r="AU334" i="28"/>
  <c r="AV334" i="28"/>
  <c r="AW334" i="28"/>
  <c r="AX334" i="28"/>
  <c r="AY334" i="28"/>
  <c r="AZ334" i="28"/>
  <c r="BA334" i="28"/>
  <c r="BB334" i="28"/>
  <c r="BC334" i="28"/>
  <c r="BD334" i="28"/>
  <c r="BE334" i="28"/>
  <c r="BF334" i="28"/>
  <c r="BG334" i="28"/>
  <c r="BH334" i="28"/>
  <c r="BI334" i="28"/>
  <c r="BJ334" i="28"/>
  <c r="BK334" i="28"/>
  <c r="BL334" i="28"/>
  <c r="BM334" i="28"/>
  <c r="BN334" i="28"/>
  <c r="BO334" i="28"/>
  <c r="BP334" i="28"/>
  <c r="BQ334" i="28"/>
  <c r="BR334" i="28"/>
  <c r="BS334" i="28"/>
  <c r="BT334" i="28"/>
  <c r="BU334" i="28"/>
  <c r="BV334" i="28"/>
  <c r="BW334" i="28"/>
  <c r="BX334" i="28"/>
  <c r="BY334" i="28"/>
  <c r="BZ334" i="28"/>
  <c r="CA334" i="28"/>
  <c r="CB334" i="28"/>
  <c r="CC334" i="28"/>
  <c r="CD334" i="28"/>
  <c r="CE334" i="28"/>
  <c r="CF334" i="28"/>
  <c r="CG334" i="28"/>
  <c r="CH334" i="28"/>
  <c r="CI334" i="28"/>
  <c r="CJ334" i="28"/>
  <c r="CK334" i="28"/>
  <c r="CL334" i="28"/>
  <c r="CM334" i="28"/>
  <c r="CN334" i="28"/>
  <c r="CO334" i="28"/>
  <c r="CP334" i="28"/>
  <c r="CQ334" i="28"/>
  <c r="CR334" i="28"/>
  <c r="CS334" i="28"/>
  <c r="CT334" i="28"/>
  <c r="CU334" i="28"/>
  <c r="CV334" i="28"/>
  <c r="CW334" i="28"/>
  <c r="B336" i="28"/>
  <c r="U3" i="32" s="1"/>
  <c r="C336" i="28"/>
  <c r="D336" i="28"/>
  <c r="U7" i="32" s="1"/>
  <c r="E336" i="28"/>
  <c r="U9" i="32" s="1"/>
  <c r="F336" i="28"/>
  <c r="U11" i="32" s="1"/>
  <c r="G336" i="28"/>
  <c r="U13" i="32" s="1"/>
  <c r="H336" i="28"/>
  <c r="U15" i="32" s="1"/>
  <c r="I336" i="28"/>
  <c r="U17" i="32" s="1"/>
  <c r="J336" i="28"/>
  <c r="U19" i="32" s="1"/>
  <c r="K336" i="28"/>
  <c r="U21" i="32" s="1"/>
  <c r="L336" i="28"/>
  <c r="U23" i="32" s="1"/>
  <c r="M336" i="28"/>
  <c r="U25" i="32" s="1"/>
  <c r="N336" i="28"/>
  <c r="O336" i="28"/>
  <c r="U29" i="32" s="1"/>
  <c r="P336" i="28"/>
  <c r="U31" i="32" s="1"/>
  <c r="Q336" i="28"/>
  <c r="U33" i="32" s="1"/>
  <c r="R336" i="28"/>
  <c r="U35" i="32" s="1"/>
  <c r="S336" i="28"/>
  <c r="U37" i="32" s="1"/>
  <c r="T336" i="28"/>
  <c r="U336" i="28"/>
  <c r="V336" i="28"/>
  <c r="W336" i="28"/>
  <c r="X336" i="28"/>
  <c r="Y336" i="28"/>
  <c r="Z336" i="28"/>
  <c r="AA336" i="28"/>
  <c r="AB336" i="28"/>
  <c r="AC336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Q336" i="28"/>
  <c r="AR336" i="28"/>
  <c r="AS336" i="28"/>
  <c r="AT336" i="28"/>
  <c r="AU336" i="28"/>
  <c r="AV336" i="28"/>
  <c r="AW336" i="28"/>
  <c r="AX336" i="28"/>
  <c r="AY336" i="28"/>
  <c r="AZ336" i="28"/>
  <c r="BA336" i="28"/>
  <c r="BB336" i="28"/>
  <c r="BC336" i="28"/>
  <c r="BD336" i="28"/>
  <c r="BE336" i="28"/>
  <c r="BF336" i="28"/>
  <c r="BG336" i="28"/>
  <c r="BH336" i="28"/>
  <c r="BI336" i="28"/>
  <c r="BJ336" i="28"/>
  <c r="BK336" i="28"/>
  <c r="BL336" i="28"/>
  <c r="BM336" i="28"/>
  <c r="BN336" i="28"/>
  <c r="BO336" i="28"/>
  <c r="BP336" i="28"/>
  <c r="BQ336" i="28"/>
  <c r="BR336" i="28"/>
  <c r="BS336" i="28"/>
  <c r="BT336" i="28"/>
  <c r="BU336" i="28"/>
  <c r="BV336" i="28"/>
  <c r="BW336" i="28"/>
  <c r="BX336" i="28"/>
  <c r="BY336" i="28"/>
  <c r="BZ336" i="28"/>
  <c r="CA336" i="28"/>
  <c r="CB336" i="28"/>
  <c r="CC336" i="28"/>
  <c r="CD336" i="28"/>
  <c r="CE336" i="28"/>
  <c r="CF336" i="28"/>
  <c r="CG336" i="28"/>
  <c r="CH336" i="28"/>
  <c r="CI336" i="28"/>
  <c r="CJ336" i="28"/>
  <c r="CK336" i="28"/>
  <c r="CL336" i="28"/>
  <c r="CM336" i="28"/>
  <c r="CN336" i="28"/>
  <c r="CO336" i="28"/>
  <c r="CP336" i="28"/>
  <c r="CQ336" i="28"/>
  <c r="CR336" i="28"/>
  <c r="CS336" i="28"/>
  <c r="CT336" i="28"/>
  <c r="CU336" i="28"/>
  <c r="CV336" i="28"/>
  <c r="CW336" i="28"/>
  <c r="B337" i="28"/>
  <c r="C337" i="28"/>
  <c r="D337" i="28"/>
  <c r="E337" i="28"/>
  <c r="J9" i="32" s="1"/>
  <c r="F337" i="28"/>
  <c r="J11" i="32" s="1"/>
  <c r="G337" i="28"/>
  <c r="J13" i="32" s="1"/>
  <c r="H337" i="28"/>
  <c r="J15" i="32" s="1"/>
  <c r="I337" i="28"/>
  <c r="J17" i="32" s="1"/>
  <c r="J337" i="28"/>
  <c r="K337" i="28"/>
  <c r="J21" i="32" s="1"/>
  <c r="L337" i="28"/>
  <c r="J23" i="32" s="1"/>
  <c r="M337" i="28"/>
  <c r="J25" i="32" s="1"/>
  <c r="N337" i="28"/>
  <c r="J27" i="32" s="1"/>
  <c r="O337" i="28"/>
  <c r="J29" i="32" s="1"/>
  <c r="P337" i="28"/>
  <c r="J31" i="32" s="1"/>
  <c r="Q337" i="28"/>
  <c r="J33" i="32" s="1"/>
  <c r="R337" i="28"/>
  <c r="J35" i="32" s="1"/>
  <c r="S337" i="28"/>
  <c r="J37" i="32" s="1"/>
  <c r="T337" i="28"/>
  <c r="U337" i="28"/>
  <c r="V337" i="28"/>
  <c r="W337" i="28"/>
  <c r="X337" i="28"/>
  <c r="Y337" i="28"/>
  <c r="Z337" i="28"/>
  <c r="AA337" i="28"/>
  <c r="AB337" i="28"/>
  <c r="AC337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Q337" i="28"/>
  <c r="AR337" i="28"/>
  <c r="AS337" i="28"/>
  <c r="AT337" i="28"/>
  <c r="AU337" i="28"/>
  <c r="AV337" i="28"/>
  <c r="AW337" i="28"/>
  <c r="AX337" i="28"/>
  <c r="AY337" i="28"/>
  <c r="AZ337" i="28"/>
  <c r="BA337" i="28"/>
  <c r="BB337" i="28"/>
  <c r="BC337" i="28"/>
  <c r="BD337" i="28"/>
  <c r="BE337" i="28"/>
  <c r="BF337" i="28"/>
  <c r="BG337" i="28"/>
  <c r="BH337" i="28"/>
  <c r="BI337" i="28"/>
  <c r="BJ337" i="28"/>
  <c r="BK337" i="28"/>
  <c r="BL337" i="28"/>
  <c r="BM337" i="28"/>
  <c r="BN337" i="28"/>
  <c r="BO337" i="28"/>
  <c r="BP337" i="28"/>
  <c r="BQ337" i="28"/>
  <c r="BR337" i="28"/>
  <c r="BS337" i="28"/>
  <c r="BT337" i="28"/>
  <c r="BU337" i="28"/>
  <c r="BV337" i="28"/>
  <c r="BW337" i="28"/>
  <c r="BX337" i="28"/>
  <c r="BY337" i="28"/>
  <c r="BZ337" i="28"/>
  <c r="CA337" i="28"/>
  <c r="CB337" i="28"/>
  <c r="CC337" i="28"/>
  <c r="CD337" i="28"/>
  <c r="CE337" i="28"/>
  <c r="CF337" i="28"/>
  <c r="CG337" i="28"/>
  <c r="CH337" i="28"/>
  <c r="CI337" i="28"/>
  <c r="CJ337" i="28"/>
  <c r="CK337" i="28"/>
  <c r="CL337" i="28"/>
  <c r="CM337" i="28"/>
  <c r="CN337" i="28"/>
  <c r="CO337" i="28"/>
  <c r="CP337" i="28"/>
  <c r="CQ337" i="28"/>
  <c r="CR337" i="28"/>
  <c r="CS337" i="28"/>
  <c r="CT337" i="28"/>
  <c r="CU337" i="28"/>
  <c r="CV337" i="28"/>
  <c r="CW337" i="28"/>
  <c r="B338" i="28"/>
  <c r="O3" i="32" s="1"/>
  <c r="C338" i="28"/>
  <c r="O5" i="32" s="1"/>
  <c r="D338" i="28"/>
  <c r="E338" i="28"/>
  <c r="O9" i="32" s="1"/>
  <c r="F338" i="28"/>
  <c r="O11" i="32" s="1"/>
  <c r="G338" i="28"/>
  <c r="O13" i="32" s="1"/>
  <c r="H338" i="28"/>
  <c r="O15" i="32" s="1"/>
  <c r="I338" i="28"/>
  <c r="O17" i="32" s="1"/>
  <c r="J338" i="28"/>
  <c r="O19" i="32" s="1"/>
  <c r="K338" i="28"/>
  <c r="O21" i="32" s="1"/>
  <c r="L338" i="28"/>
  <c r="O23" i="32" s="1"/>
  <c r="M338" i="28"/>
  <c r="O25" i="32" s="1"/>
  <c r="N338" i="28"/>
  <c r="O338" i="28"/>
  <c r="O29" i="32" s="1"/>
  <c r="P338" i="28"/>
  <c r="O31" i="32" s="1"/>
  <c r="Q338" i="28"/>
  <c r="O33" i="32" s="1"/>
  <c r="R338" i="28"/>
  <c r="O35" i="32" s="1"/>
  <c r="S338" i="28"/>
  <c r="O37" i="32" s="1"/>
  <c r="T338" i="28"/>
  <c r="U338" i="28"/>
  <c r="V338" i="28"/>
  <c r="W338" i="28"/>
  <c r="X338" i="28"/>
  <c r="Y338" i="28"/>
  <c r="Z338" i="28"/>
  <c r="AA338" i="28"/>
  <c r="AB338" i="28"/>
  <c r="AC338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Q338" i="28"/>
  <c r="AR338" i="28"/>
  <c r="AS338" i="28"/>
  <c r="AT338" i="28"/>
  <c r="AU338" i="28"/>
  <c r="AV338" i="28"/>
  <c r="AW338" i="28"/>
  <c r="AX338" i="28"/>
  <c r="AY338" i="28"/>
  <c r="AZ338" i="28"/>
  <c r="BA338" i="28"/>
  <c r="BB338" i="28"/>
  <c r="BC338" i="28"/>
  <c r="BD338" i="28"/>
  <c r="BE338" i="28"/>
  <c r="BF338" i="28"/>
  <c r="BG338" i="28"/>
  <c r="BH338" i="28"/>
  <c r="BI338" i="28"/>
  <c r="BJ338" i="28"/>
  <c r="BK338" i="28"/>
  <c r="BL338" i="28"/>
  <c r="BM338" i="28"/>
  <c r="BN338" i="28"/>
  <c r="BO338" i="28"/>
  <c r="BP338" i="28"/>
  <c r="BQ338" i="28"/>
  <c r="BR338" i="28"/>
  <c r="BS338" i="28"/>
  <c r="BT338" i="28"/>
  <c r="BU338" i="28"/>
  <c r="BV338" i="28"/>
  <c r="BW338" i="28"/>
  <c r="BX338" i="28"/>
  <c r="BY338" i="28"/>
  <c r="BZ338" i="28"/>
  <c r="CA338" i="28"/>
  <c r="CB338" i="28"/>
  <c r="CC338" i="28"/>
  <c r="CD338" i="28"/>
  <c r="CE338" i="28"/>
  <c r="CF338" i="28"/>
  <c r="CG338" i="28"/>
  <c r="CH338" i="28"/>
  <c r="CI338" i="28"/>
  <c r="CJ338" i="28"/>
  <c r="CK338" i="28"/>
  <c r="CL338" i="28"/>
  <c r="CM338" i="28"/>
  <c r="CN338" i="28"/>
  <c r="CO338" i="28"/>
  <c r="CP338" i="28"/>
  <c r="CQ338" i="28"/>
  <c r="CR338" i="28"/>
  <c r="CS338" i="28"/>
  <c r="CT338" i="28"/>
  <c r="CU338" i="28"/>
  <c r="CV338" i="28"/>
  <c r="CW338" i="28"/>
  <c r="B339" i="28"/>
  <c r="C339" i="28"/>
  <c r="S5" i="32" s="1"/>
  <c r="D339" i="28"/>
  <c r="S7" i="32" s="1"/>
  <c r="E339" i="28"/>
  <c r="S9" i="32" s="1"/>
  <c r="F339" i="28"/>
  <c r="S11" i="32" s="1"/>
  <c r="G339" i="28"/>
  <c r="S13" i="32" s="1"/>
  <c r="H339" i="28"/>
  <c r="S15" i="32" s="1"/>
  <c r="I339" i="28"/>
  <c r="S17" i="32" s="1"/>
  <c r="J339" i="28"/>
  <c r="S19" i="32" s="1"/>
  <c r="K339" i="28"/>
  <c r="S21" i="32" s="1"/>
  <c r="L339" i="28"/>
  <c r="M339" i="28"/>
  <c r="S25" i="32" s="1"/>
  <c r="N339" i="28"/>
  <c r="O339" i="28"/>
  <c r="S29" i="32" s="1"/>
  <c r="P339" i="28"/>
  <c r="S31" i="32" s="1"/>
  <c r="Q339" i="28"/>
  <c r="S33" i="32" s="1"/>
  <c r="R339" i="28"/>
  <c r="S35" i="32" s="1"/>
  <c r="S339" i="28"/>
  <c r="S37" i="32" s="1"/>
  <c r="T339" i="28"/>
  <c r="U339" i="28"/>
  <c r="V339" i="28"/>
  <c r="W339" i="28"/>
  <c r="X339" i="28"/>
  <c r="Y339" i="28"/>
  <c r="Z339" i="28"/>
  <c r="AA339" i="28"/>
  <c r="AB339" i="28"/>
  <c r="AC339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Q339" i="28"/>
  <c r="AR339" i="28"/>
  <c r="AS339" i="28"/>
  <c r="AT339" i="28"/>
  <c r="AU339" i="28"/>
  <c r="AV339" i="28"/>
  <c r="AW339" i="28"/>
  <c r="AX339" i="28"/>
  <c r="AY339" i="28"/>
  <c r="AZ339" i="28"/>
  <c r="BA339" i="28"/>
  <c r="BB339" i="28"/>
  <c r="BC339" i="28"/>
  <c r="BD339" i="28"/>
  <c r="BE339" i="28"/>
  <c r="BF339" i="28"/>
  <c r="BG339" i="28"/>
  <c r="BH339" i="28"/>
  <c r="BI339" i="28"/>
  <c r="BJ339" i="28"/>
  <c r="BK339" i="28"/>
  <c r="BL339" i="28"/>
  <c r="BM339" i="28"/>
  <c r="BN339" i="28"/>
  <c r="BO339" i="28"/>
  <c r="BP339" i="28"/>
  <c r="BQ339" i="28"/>
  <c r="BR339" i="28"/>
  <c r="BS339" i="28"/>
  <c r="BT339" i="28"/>
  <c r="BU339" i="28"/>
  <c r="BV339" i="28"/>
  <c r="BW339" i="28"/>
  <c r="BX339" i="28"/>
  <c r="BY339" i="28"/>
  <c r="BZ339" i="28"/>
  <c r="CA339" i="28"/>
  <c r="CB339" i="28"/>
  <c r="CC339" i="28"/>
  <c r="CD339" i="28"/>
  <c r="CE339" i="28"/>
  <c r="CF339" i="28"/>
  <c r="CG339" i="28"/>
  <c r="CH339" i="28"/>
  <c r="CI339" i="28"/>
  <c r="CJ339" i="28"/>
  <c r="CK339" i="28"/>
  <c r="CL339" i="28"/>
  <c r="CM339" i="28"/>
  <c r="CN339" i="28"/>
  <c r="CO339" i="28"/>
  <c r="CP339" i="28"/>
  <c r="CQ339" i="28"/>
  <c r="CR339" i="28"/>
  <c r="CS339" i="28"/>
  <c r="CT339" i="28"/>
  <c r="CU339" i="28"/>
  <c r="CV339" i="28"/>
  <c r="CW339" i="28"/>
  <c r="B340" i="28"/>
  <c r="C340" i="28"/>
  <c r="Q5" i="32" s="1"/>
  <c r="D340" i="28"/>
  <c r="Q7" i="32" s="1"/>
  <c r="E340" i="28"/>
  <c r="F340" i="28"/>
  <c r="Q11" i="32" s="1"/>
  <c r="G340" i="28"/>
  <c r="Q13" i="32" s="1"/>
  <c r="H340" i="28"/>
  <c r="Q15" i="32" s="1"/>
  <c r="I340" i="28"/>
  <c r="Q17" i="32" s="1"/>
  <c r="J340" i="28"/>
  <c r="Q19" i="32" s="1"/>
  <c r="K340" i="28"/>
  <c r="Q21" i="32" s="1"/>
  <c r="L340" i="28"/>
  <c r="Q23" i="32" s="1"/>
  <c r="M340" i="28"/>
  <c r="Q25" i="32" s="1"/>
  <c r="N340" i="28"/>
  <c r="O340" i="28"/>
  <c r="Q29" i="32" s="1"/>
  <c r="P340" i="28"/>
  <c r="Q31" i="32" s="1"/>
  <c r="Q340" i="28"/>
  <c r="Q33" i="32" s="1"/>
  <c r="R340" i="28"/>
  <c r="Q35" i="32" s="1"/>
  <c r="S340" i="28"/>
  <c r="Q37" i="32" s="1"/>
  <c r="T340" i="28"/>
  <c r="U340" i="28"/>
  <c r="V340" i="28"/>
  <c r="W340" i="28"/>
  <c r="X340" i="28"/>
  <c r="Y340" i="28"/>
  <c r="Z340" i="28"/>
  <c r="AA340" i="28"/>
  <c r="AB340" i="28"/>
  <c r="AC340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Q340" i="28"/>
  <c r="AR340" i="28"/>
  <c r="AS340" i="28"/>
  <c r="AT340" i="28"/>
  <c r="AU340" i="28"/>
  <c r="AV340" i="28"/>
  <c r="AW340" i="28"/>
  <c r="AX340" i="28"/>
  <c r="AY340" i="28"/>
  <c r="AZ340" i="28"/>
  <c r="BA340" i="28"/>
  <c r="BB340" i="28"/>
  <c r="BC340" i="28"/>
  <c r="BD340" i="28"/>
  <c r="BE340" i="28"/>
  <c r="BF340" i="28"/>
  <c r="BG340" i="28"/>
  <c r="BH340" i="28"/>
  <c r="BI340" i="28"/>
  <c r="BJ340" i="28"/>
  <c r="BK340" i="28"/>
  <c r="BL340" i="28"/>
  <c r="BM340" i="28"/>
  <c r="BN340" i="28"/>
  <c r="BO340" i="28"/>
  <c r="BP340" i="28"/>
  <c r="BQ340" i="28"/>
  <c r="BR340" i="28"/>
  <c r="BS340" i="28"/>
  <c r="BT340" i="28"/>
  <c r="BU340" i="28"/>
  <c r="BV340" i="28"/>
  <c r="BW340" i="28"/>
  <c r="BX340" i="28"/>
  <c r="BY340" i="28"/>
  <c r="BZ340" i="28"/>
  <c r="CA340" i="28"/>
  <c r="CB340" i="28"/>
  <c r="CC340" i="28"/>
  <c r="CD340" i="28"/>
  <c r="CE340" i="28"/>
  <c r="CF340" i="28"/>
  <c r="CG340" i="28"/>
  <c r="CH340" i="28"/>
  <c r="CI340" i="28"/>
  <c r="CJ340" i="28"/>
  <c r="CK340" i="28"/>
  <c r="CL340" i="28"/>
  <c r="CM340" i="28"/>
  <c r="CN340" i="28"/>
  <c r="CO340" i="28"/>
  <c r="CP340" i="28"/>
  <c r="CQ340" i="28"/>
  <c r="CR340" i="28"/>
  <c r="CS340" i="28"/>
  <c r="CT340" i="28"/>
  <c r="CU340" i="28"/>
  <c r="CV340" i="28"/>
  <c r="CW340" i="28"/>
  <c r="B341" i="28"/>
  <c r="C341" i="28"/>
  <c r="R5" i="32" s="1"/>
  <c r="D341" i="28"/>
  <c r="R7" i="32" s="1"/>
  <c r="E341" i="28"/>
  <c r="R9" i="32" s="1"/>
  <c r="F341" i="28"/>
  <c r="R11" i="32" s="1"/>
  <c r="G341" i="28"/>
  <c r="R13" i="32" s="1"/>
  <c r="H341" i="28"/>
  <c r="R15" i="32" s="1"/>
  <c r="I341" i="28"/>
  <c r="J341" i="28"/>
  <c r="R19" i="32" s="1"/>
  <c r="K341" i="28"/>
  <c r="R21" i="32" s="1"/>
  <c r="L341" i="28"/>
  <c r="R23" i="32" s="1"/>
  <c r="M341" i="28"/>
  <c r="R25" i="32" s="1"/>
  <c r="N341" i="28"/>
  <c r="O341" i="28"/>
  <c r="R29" i="32" s="1"/>
  <c r="P341" i="28"/>
  <c r="R31" i="32" s="1"/>
  <c r="Q341" i="28"/>
  <c r="R33" i="32" s="1"/>
  <c r="R341" i="28"/>
  <c r="R35" i="32" s="1"/>
  <c r="S341" i="28"/>
  <c r="R37" i="32" s="1"/>
  <c r="T341" i="28"/>
  <c r="U341" i="28"/>
  <c r="V341" i="28"/>
  <c r="W341" i="28"/>
  <c r="X341" i="28"/>
  <c r="Y341" i="28"/>
  <c r="Z341" i="28"/>
  <c r="AA341" i="28"/>
  <c r="AB341" i="28"/>
  <c r="AC341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Q341" i="28"/>
  <c r="AR341" i="28"/>
  <c r="AS341" i="28"/>
  <c r="AT341" i="28"/>
  <c r="AU341" i="28"/>
  <c r="AV341" i="28"/>
  <c r="AW341" i="28"/>
  <c r="AX341" i="28"/>
  <c r="AY341" i="28"/>
  <c r="AZ341" i="28"/>
  <c r="BA341" i="28"/>
  <c r="BB341" i="28"/>
  <c r="BC341" i="28"/>
  <c r="BD341" i="28"/>
  <c r="BE341" i="28"/>
  <c r="BF341" i="28"/>
  <c r="BG341" i="28"/>
  <c r="BH341" i="28"/>
  <c r="BI341" i="28"/>
  <c r="BJ341" i="28"/>
  <c r="BK341" i="28"/>
  <c r="BL341" i="28"/>
  <c r="BM341" i="28"/>
  <c r="BN341" i="28"/>
  <c r="BO341" i="28"/>
  <c r="BP341" i="28"/>
  <c r="BQ341" i="28"/>
  <c r="BR341" i="28"/>
  <c r="BS341" i="28"/>
  <c r="BT341" i="28"/>
  <c r="BU341" i="28"/>
  <c r="BV341" i="28"/>
  <c r="BW341" i="28"/>
  <c r="BX341" i="28"/>
  <c r="BY341" i="28"/>
  <c r="BZ341" i="28"/>
  <c r="CA341" i="28"/>
  <c r="CB341" i="28"/>
  <c r="CC341" i="28"/>
  <c r="CD341" i="28"/>
  <c r="CE341" i="28"/>
  <c r="CF341" i="28"/>
  <c r="CG341" i="28"/>
  <c r="CH341" i="28"/>
  <c r="CI341" i="28"/>
  <c r="CJ341" i="28"/>
  <c r="CK341" i="28"/>
  <c r="CL341" i="28"/>
  <c r="CM341" i="28"/>
  <c r="CN341" i="28"/>
  <c r="CO341" i="28"/>
  <c r="CP341" i="28"/>
  <c r="CQ341" i="28"/>
  <c r="CR341" i="28"/>
  <c r="CS341" i="28"/>
  <c r="CT341" i="28"/>
  <c r="CU341" i="28"/>
  <c r="CV341" i="28"/>
  <c r="CW341" i="28"/>
  <c r="B352" i="28"/>
  <c r="C352" i="28"/>
  <c r="D352" i="28"/>
  <c r="E352" i="28"/>
  <c r="B354" i="28"/>
  <c r="C354" i="28"/>
  <c r="D354" i="28"/>
  <c r="E354" i="28"/>
  <c r="B387" i="28"/>
  <c r="B388" i="28"/>
  <c r="B397" i="28"/>
  <c r="C397" i="28"/>
  <c r="D397" i="28"/>
  <c r="E397" i="28"/>
  <c r="F397" i="28"/>
  <c r="G397" i="28"/>
  <c r="H397" i="28"/>
  <c r="I397" i="28"/>
  <c r="B398" i="28"/>
  <c r="C398" i="28"/>
  <c r="D398" i="28"/>
  <c r="E398" i="28"/>
  <c r="F398" i="28"/>
  <c r="G398" i="28"/>
  <c r="H398" i="28"/>
  <c r="I398" i="28"/>
  <c r="B399" i="28"/>
  <c r="C399" i="28"/>
  <c r="D399" i="28"/>
  <c r="E399" i="28"/>
  <c r="F399" i="28"/>
  <c r="G399" i="28"/>
  <c r="H399" i="28"/>
  <c r="I399" i="28"/>
  <c r="B400" i="28"/>
  <c r="C400" i="28"/>
  <c r="D400" i="28"/>
  <c r="E400" i="28"/>
  <c r="F400" i="28"/>
  <c r="G400" i="28"/>
  <c r="H400" i="28"/>
  <c r="I400" i="28"/>
  <c r="B401" i="28"/>
  <c r="C401" i="28"/>
  <c r="D401" i="28"/>
  <c r="E401" i="28"/>
  <c r="F401" i="28"/>
  <c r="G401" i="28"/>
  <c r="H401" i="28"/>
  <c r="I401" i="28"/>
  <c r="B402" i="28"/>
  <c r="C402" i="28"/>
  <c r="D402" i="28"/>
  <c r="E402" i="28"/>
  <c r="F402" i="28"/>
  <c r="G402" i="28"/>
  <c r="H402" i="28"/>
  <c r="I402" i="28"/>
  <c r="B403" i="28"/>
  <c r="C403" i="28"/>
  <c r="D403" i="28"/>
  <c r="E403" i="28"/>
  <c r="F403" i="28"/>
  <c r="G403" i="28"/>
  <c r="H403" i="28"/>
  <c r="I403" i="28"/>
  <c r="B404" i="28"/>
  <c r="C404" i="28"/>
  <c r="D404" i="28"/>
  <c r="E404" i="28"/>
  <c r="F404" i="28"/>
  <c r="G404" i="28"/>
  <c r="H404" i="28"/>
  <c r="I404" i="28"/>
  <c r="B405" i="28"/>
  <c r="C405" i="28"/>
  <c r="D405" i="28"/>
  <c r="E405" i="28"/>
  <c r="F405" i="28"/>
  <c r="G405" i="28"/>
  <c r="H405" i="28"/>
  <c r="I405" i="28"/>
  <c r="B406" i="28"/>
  <c r="C406" i="28"/>
  <c r="D406" i="28"/>
  <c r="E406" i="28"/>
  <c r="F406" i="28"/>
  <c r="G406" i="28"/>
  <c r="H406" i="28"/>
  <c r="I406" i="28"/>
  <c r="B407" i="28"/>
  <c r="C407" i="28"/>
  <c r="D407" i="28"/>
  <c r="E407" i="28"/>
  <c r="F407" i="28"/>
  <c r="G407" i="28"/>
  <c r="H407" i="28"/>
  <c r="I407" i="28"/>
  <c r="B408" i="28"/>
  <c r="C408" i="28"/>
  <c r="D408" i="28"/>
  <c r="E408" i="28"/>
  <c r="F408" i="28"/>
  <c r="G408" i="28"/>
  <c r="H408" i="28"/>
  <c r="I408" i="28"/>
  <c r="B409" i="28"/>
  <c r="C409" i="28"/>
  <c r="D409" i="28"/>
  <c r="E409" i="28"/>
  <c r="F409" i="28"/>
  <c r="G409" i="28"/>
  <c r="H409" i="28"/>
  <c r="I409" i="28"/>
  <c r="B410" i="28"/>
  <c r="C410" i="28"/>
  <c r="D410" i="28"/>
  <c r="E410" i="28"/>
  <c r="F410" i="28"/>
  <c r="G410" i="28"/>
  <c r="H410" i="28"/>
  <c r="I410" i="28"/>
  <c r="B411" i="28"/>
  <c r="C411" i="28"/>
  <c r="D411" i="28"/>
  <c r="E411" i="28"/>
  <c r="F411" i="28"/>
  <c r="G411" i="28"/>
  <c r="H411" i="28"/>
  <c r="I411" i="28"/>
  <c r="B412" i="28"/>
  <c r="C412" i="28"/>
  <c r="D412" i="28"/>
  <c r="E412" i="28"/>
  <c r="F412" i="28"/>
  <c r="G412" i="28"/>
  <c r="H412" i="28"/>
  <c r="I412" i="28"/>
  <c r="B429" i="28"/>
  <c r="C429" i="28"/>
  <c r="D429" i="28"/>
  <c r="E429" i="28"/>
  <c r="F429" i="28"/>
  <c r="G429" i="28"/>
  <c r="H429" i="28"/>
  <c r="I429" i="28"/>
  <c r="B430" i="28"/>
  <c r="C430" i="28"/>
  <c r="D430" i="28"/>
  <c r="E430" i="28"/>
  <c r="F430" i="28"/>
  <c r="G430" i="28"/>
  <c r="H430" i="28"/>
  <c r="I430" i="28"/>
  <c r="B431" i="28"/>
  <c r="C431" i="28"/>
  <c r="D431" i="28"/>
  <c r="E431" i="28"/>
  <c r="F431" i="28"/>
  <c r="G431" i="28"/>
  <c r="H431" i="28"/>
  <c r="I431" i="28"/>
  <c r="B432" i="28"/>
  <c r="C432" i="28"/>
  <c r="D432" i="28"/>
  <c r="E432" i="28"/>
  <c r="F432" i="28"/>
  <c r="G432" i="28"/>
  <c r="H432" i="28"/>
  <c r="I432" i="28"/>
  <c r="B433" i="28"/>
  <c r="C433" i="28"/>
  <c r="D433" i="28"/>
  <c r="E433" i="28"/>
  <c r="F433" i="28"/>
  <c r="G433" i="28"/>
  <c r="H433" i="28"/>
  <c r="I433" i="28"/>
  <c r="B434" i="28"/>
  <c r="C434" i="28"/>
  <c r="D434" i="28"/>
  <c r="E434" i="28"/>
  <c r="F434" i="28"/>
  <c r="G434" i="28"/>
  <c r="H434" i="28"/>
  <c r="I434" i="28"/>
  <c r="B435" i="28"/>
  <c r="C435" i="28"/>
  <c r="D435" i="28"/>
  <c r="E435" i="28"/>
  <c r="F435" i="28"/>
  <c r="G435" i="28"/>
  <c r="H435" i="28"/>
  <c r="I435" i="28"/>
  <c r="B436" i="28"/>
  <c r="C436" i="28"/>
  <c r="D436" i="28"/>
  <c r="E436" i="28"/>
  <c r="F436" i="28"/>
  <c r="G436" i="28"/>
  <c r="H436" i="28"/>
  <c r="I436" i="28"/>
  <c r="B437" i="28"/>
  <c r="C437" i="28"/>
  <c r="D437" i="28"/>
  <c r="E437" i="28"/>
  <c r="F437" i="28"/>
  <c r="G437" i="28"/>
  <c r="H437" i="28"/>
  <c r="I437" i="28"/>
  <c r="B438" i="28"/>
  <c r="C438" i="28"/>
  <c r="D438" i="28"/>
  <c r="E438" i="28"/>
  <c r="F438" i="28"/>
  <c r="G438" i="28"/>
  <c r="H438" i="28"/>
  <c r="I438" i="28"/>
  <c r="B439" i="28"/>
  <c r="C439" i="28"/>
  <c r="D439" i="28"/>
  <c r="E439" i="28"/>
  <c r="F439" i="28"/>
  <c r="G439" i="28"/>
  <c r="H439" i="28"/>
  <c r="I439" i="28"/>
  <c r="B440" i="28"/>
  <c r="C440" i="28"/>
  <c r="D440" i="28"/>
  <c r="E440" i="28"/>
  <c r="F440" i="28"/>
  <c r="G440" i="28"/>
  <c r="H440" i="28"/>
  <c r="I440" i="28"/>
  <c r="B441" i="28"/>
  <c r="C441" i="28"/>
  <c r="D441" i="28"/>
  <c r="E441" i="28"/>
  <c r="F441" i="28"/>
  <c r="G441" i="28"/>
  <c r="H441" i="28"/>
  <c r="I441" i="28"/>
  <c r="B442" i="28"/>
  <c r="C442" i="28"/>
  <c r="D442" i="28"/>
  <c r="E442" i="28"/>
  <c r="F442" i="28"/>
  <c r="G442" i="28"/>
  <c r="H442" i="28"/>
  <c r="I442" i="28"/>
  <c r="B443" i="28"/>
  <c r="C443" i="28"/>
  <c r="D443" i="28"/>
  <c r="E443" i="28"/>
  <c r="F443" i="28"/>
  <c r="G443" i="28"/>
  <c r="H443" i="28"/>
  <c r="I443" i="28"/>
  <c r="B444" i="28"/>
  <c r="C444" i="28"/>
  <c r="D444" i="28"/>
  <c r="E444" i="28"/>
  <c r="F444" i="28"/>
  <c r="G444" i="28"/>
  <c r="H444" i="28"/>
  <c r="I444" i="28"/>
  <c r="B456" i="28"/>
  <c r="B457" i="28"/>
  <c r="B461" i="28"/>
  <c r="C461" i="28"/>
  <c r="D461" i="28"/>
  <c r="E461" i="28"/>
  <c r="F461" i="28"/>
  <c r="G461" i="28"/>
  <c r="H461" i="28"/>
  <c r="I461" i="28"/>
  <c r="J461" i="28"/>
  <c r="K461" i="28"/>
  <c r="L461" i="28"/>
  <c r="M461" i="28"/>
  <c r="N461" i="28"/>
  <c r="O461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AC461" i="28"/>
  <c r="AD461" i="28"/>
  <c r="AE461" i="28"/>
  <c r="AF461" i="28"/>
  <c r="AG461" i="28"/>
  <c r="B462" i="28"/>
  <c r="C462" i="28"/>
  <c r="D462" i="28"/>
  <c r="E462" i="28"/>
  <c r="F462" i="28"/>
  <c r="G462" i="28"/>
  <c r="H462" i="28"/>
  <c r="I462" i="28"/>
  <c r="J462" i="28"/>
  <c r="K462" i="28"/>
  <c r="L462" i="28"/>
  <c r="M462" i="28"/>
  <c r="N462" i="28"/>
  <c r="O462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AC462" i="28"/>
  <c r="AD462" i="28"/>
  <c r="AE462" i="28"/>
  <c r="AF462" i="28"/>
  <c r="AG462" i="28"/>
  <c r="B463" i="28"/>
  <c r="C463" i="28"/>
  <c r="D463" i="28"/>
  <c r="E463" i="28"/>
  <c r="F463" i="28"/>
  <c r="G463" i="28"/>
  <c r="H463" i="28"/>
  <c r="I463" i="28"/>
  <c r="J463" i="28"/>
  <c r="K463" i="28"/>
  <c r="L463" i="28"/>
  <c r="M463" i="28"/>
  <c r="N463" i="28"/>
  <c r="O463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AC463" i="28"/>
  <c r="AD463" i="28"/>
  <c r="AE463" i="28"/>
  <c r="AF463" i="28"/>
  <c r="AG463" i="28"/>
  <c r="B464" i="28"/>
  <c r="C464" i="28"/>
  <c r="D464" i="28"/>
  <c r="E464" i="28"/>
  <c r="F464" i="28"/>
  <c r="G464" i="28"/>
  <c r="H464" i="28"/>
  <c r="I464" i="28"/>
  <c r="J464" i="28"/>
  <c r="K464" i="28"/>
  <c r="L464" i="28"/>
  <c r="M464" i="28"/>
  <c r="N464" i="28"/>
  <c r="O464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AC464" i="28"/>
  <c r="AD464" i="28"/>
  <c r="AE464" i="28"/>
  <c r="AF464" i="28"/>
  <c r="AG464" i="28"/>
  <c r="B465" i="28"/>
  <c r="C465" i="28"/>
  <c r="D465" i="28"/>
  <c r="E465" i="28"/>
  <c r="F465" i="28"/>
  <c r="G465" i="28"/>
  <c r="H465" i="28"/>
  <c r="I465" i="28"/>
  <c r="J465" i="28"/>
  <c r="K465" i="28"/>
  <c r="L465" i="28"/>
  <c r="M465" i="28"/>
  <c r="N465" i="28"/>
  <c r="O465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AC465" i="28"/>
  <c r="AD465" i="28"/>
  <c r="AE465" i="28"/>
  <c r="AF465" i="28"/>
  <c r="AG465" i="28"/>
  <c r="B466" i="28"/>
  <c r="C466" i="28"/>
  <c r="D466" i="28"/>
  <c r="E466" i="28"/>
  <c r="F466" i="28"/>
  <c r="G466" i="28"/>
  <c r="H466" i="28"/>
  <c r="I466" i="28"/>
  <c r="J466" i="28"/>
  <c r="K466" i="28"/>
  <c r="L466" i="28"/>
  <c r="M466" i="28"/>
  <c r="N466" i="28"/>
  <c r="O466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AC466" i="28"/>
  <c r="AD466" i="28"/>
  <c r="AE466" i="28"/>
  <c r="AF466" i="28"/>
  <c r="AG466" i="28"/>
  <c r="B468" i="28"/>
  <c r="C468" i="28"/>
  <c r="D468" i="28"/>
  <c r="E468" i="28"/>
  <c r="F468" i="28"/>
  <c r="G468" i="28"/>
  <c r="H468" i="28"/>
  <c r="I468" i="28"/>
  <c r="J468" i="28"/>
  <c r="M5" i="20" s="1"/>
  <c r="K468" i="28"/>
  <c r="L468" i="28"/>
  <c r="M468" i="28"/>
  <c r="P5" i="20" s="1"/>
  <c r="N468" i="28"/>
  <c r="Q5" i="20" s="1"/>
  <c r="O468" i="28"/>
  <c r="P468" i="28"/>
  <c r="Q468" i="28"/>
  <c r="T5" i="20" s="1"/>
  <c r="R468" i="28"/>
  <c r="U5" i="20" s="1"/>
  <c r="S468" i="28"/>
  <c r="T468" i="28"/>
  <c r="U468" i="28"/>
  <c r="X5" i="20" s="1"/>
  <c r="V468" i="28"/>
  <c r="W468" i="28"/>
  <c r="X468" i="28"/>
  <c r="Y468" i="28"/>
  <c r="AB5" i="20" s="1"/>
  <c r="Z468" i="28"/>
  <c r="AA468" i="28"/>
  <c r="AB468" i="28"/>
  <c r="AC468" i="28"/>
  <c r="AD468" i="28"/>
  <c r="AE468" i="28"/>
  <c r="AF468" i="28"/>
  <c r="AG468" i="28"/>
  <c r="B473" i="28"/>
  <c r="C473" i="28"/>
  <c r="D473" i="28"/>
  <c r="E473" i="28"/>
  <c r="F473" i="28"/>
  <c r="G473" i="28"/>
  <c r="H473" i="28"/>
  <c r="I473" i="28"/>
  <c r="J473" i="28"/>
  <c r="K473" i="28"/>
  <c r="L473" i="28"/>
  <c r="M473" i="28"/>
  <c r="N473" i="28"/>
  <c r="O473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AC473" i="28"/>
  <c r="AD473" i="28"/>
  <c r="AE473" i="28"/>
  <c r="AF473" i="28"/>
  <c r="AG473" i="28"/>
  <c r="B474" i="28"/>
  <c r="C474" i="28"/>
  <c r="D474" i="28"/>
  <c r="E474" i="28"/>
  <c r="F474" i="28"/>
  <c r="G474" i="28"/>
  <c r="H474" i="28"/>
  <c r="I474" i="28"/>
  <c r="J474" i="28"/>
  <c r="K474" i="28"/>
  <c r="L474" i="28"/>
  <c r="M474" i="28"/>
  <c r="N474" i="28"/>
  <c r="O474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AC474" i="28"/>
  <c r="AD474" i="28"/>
  <c r="AE474" i="28"/>
  <c r="AF474" i="28"/>
  <c r="AG474" i="28"/>
  <c r="B475" i="28"/>
  <c r="C475" i="28"/>
  <c r="D475" i="28"/>
  <c r="E475" i="28"/>
  <c r="F475" i="28"/>
  <c r="G475" i="28"/>
  <c r="H475" i="28"/>
  <c r="I475" i="28"/>
  <c r="J475" i="28"/>
  <c r="K475" i="28"/>
  <c r="L475" i="28"/>
  <c r="M475" i="28"/>
  <c r="N475" i="28"/>
  <c r="O475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AC475" i="28"/>
  <c r="AD475" i="28"/>
  <c r="AE475" i="28"/>
  <c r="AF475" i="28"/>
  <c r="AG475" i="28"/>
  <c r="B476" i="28"/>
  <c r="C476" i="28"/>
  <c r="D476" i="28"/>
  <c r="E476" i="28"/>
  <c r="F476" i="28"/>
  <c r="G476" i="28"/>
  <c r="H476" i="28"/>
  <c r="I476" i="28"/>
  <c r="J476" i="28"/>
  <c r="K476" i="28"/>
  <c r="L476" i="28"/>
  <c r="M476" i="28"/>
  <c r="N476" i="28"/>
  <c r="O476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AC476" i="28"/>
  <c r="AD476" i="28"/>
  <c r="AE476" i="28"/>
  <c r="AF476" i="28"/>
  <c r="AG476" i="28"/>
  <c r="B483" i="28"/>
  <c r="B484" i="28"/>
  <c r="B486" i="28"/>
  <c r="B487" i="28"/>
  <c r="B490" i="28"/>
  <c r="B499" i="28"/>
  <c r="B500" i="28"/>
  <c r="B501" i="28"/>
  <c r="B506" i="28"/>
  <c r="B17" i="31" s="1"/>
  <c r="B507" i="28"/>
  <c r="B508" i="28"/>
  <c r="B509" i="28"/>
  <c r="B18" i="31" s="1"/>
  <c r="B510" i="28"/>
  <c r="B511" i="28"/>
  <c r="B512" i="28"/>
  <c r="B11" i="31" s="1"/>
  <c r="B513" i="28"/>
  <c r="B514" i="28"/>
  <c r="B9" i="31" s="1"/>
  <c r="B515" i="28"/>
  <c r="B516" i="28"/>
  <c r="B517" i="28"/>
  <c r="B20" i="31" s="1"/>
  <c r="B518" i="28"/>
  <c r="B519" i="28"/>
  <c r="B520" i="28"/>
  <c r="B521" i="28"/>
  <c r="B13" i="31" s="1"/>
  <c r="B522" i="28"/>
  <c r="B14" i="31" s="1"/>
  <c r="B733" i="28"/>
  <c r="B751" i="28"/>
  <c r="C751" i="28"/>
  <c r="D751" i="28"/>
  <c r="E751" i="28"/>
  <c r="F751" i="28"/>
  <c r="G751" i="28"/>
  <c r="H751" i="28"/>
  <c r="I751" i="28"/>
  <c r="J751" i="28"/>
  <c r="K751" i="28"/>
  <c r="L751" i="28"/>
  <c r="M751" i="28"/>
  <c r="N751" i="28"/>
  <c r="O751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AC751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Q751" i="28"/>
  <c r="AR751" i="28"/>
  <c r="AS751" i="28"/>
  <c r="AT751" i="28"/>
  <c r="AU751" i="28"/>
  <c r="AV751" i="28"/>
  <c r="AW751" i="28"/>
  <c r="AX751" i="28"/>
  <c r="AY751" i="28"/>
  <c r="AZ751" i="28"/>
  <c r="BA751" i="28"/>
  <c r="BB751" i="28"/>
  <c r="BC751" i="28"/>
  <c r="BD751" i="28"/>
  <c r="D32" i="24" s="1"/>
  <c r="BE751" i="28"/>
  <c r="BF751" i="28"/>
  <c r="BG751" i="28"/>
  <c r="D35" i="24" s="1"/>
  <c r="BH751" i="28"/>
  <c r="BI751" i="28"/>
  <c r="BJ751" i="28"/>
  <c r="BK751" i="28"/>
  <c r="BL751" i="28"/>
  <c r="D38" i="24" s="1"/>
  <c r="BM751" i="28"/>
  <c r="BN751" i="28"/>
  <c r="BO751" i="28"/>
  <c r="BP751" i="28"/>
  <c r="BQ751" i="28"/>
  <c r="BR751" i="28"/>
  <c r="BS751" i="28"/>
  <c r="BT751" i="28"/>
  <c r="BU751" i="28"/>
  <c r="BV751" i="28"/>
  <c r="BW751" i="28"/>
  <c r="BX751" i="28"/>
  <c r="BY751" i="28"/>
  <c r="BZ751" i="28"/>
  <c r="CA751" i="28"/>
  <c r="CB751" i="28"/>
  <c r="CC751" i="28"/>
  <c r="CD751" i="28"/>
  <c r="CE751" i="28"/>
  <c r="CF751" i="28"/>
  <c r="CG751" i="28"/>
  <c r="CH751" i="28"/>
  <c r="CI751" i="28"/>
  <c r="CJ751" i="28"/>
  <c r="CK751" i="28"/>
  <c r="CL751" i="28"/>
  <c r="CM751" i="28"/>
  <c r="CN751" i="28"/>
  <c r="CO751" i="28"/>
  <c r="CP751" i="28"/>
  <c r="CQ751" i="28"/>
  <c r="CR751" i="28"/>
  <c r="CS751" i="28"/>
  <c r="CT751" i="28"/>
  <c r="CU751" i="28"/>
  <c r="CV751" i="28"/>
  <c r="CW751" i="28"/>
  <c r="CX751" i="28"/>
  <c r="CY751" i="28"/>
  <c r="CZ751" i="28"/>
  <c r="DA751" i="28"/>
  <c r="DB751" i="28"/>
  <c r="DC751" i="28"/>
  <c r="DD751" i="28"/>
  <c r="DE751" i="28"/>
  <c r="DF751" i="28"/>
  <c r="DG751" i="28"/>
  <c r="DH751" i="28"/>
  <c r="DI751" i="28"/>
  <c r="DJ751" i="28"/>
  <c r="DK751" i="28"/>
  <c r="DL751" i="28"/>
  <c r="DM751" i="28"/>
  <c r="DN751" i="28"/>
  <c r="DO751" i="28"/>
  <c r="DP751" i="28"/>
  <c r="DQ751" i="28"/>
  <c r="DR751" i="28"/>
  <c r="DS751" i="28"/>
  <c r="DT751" i="28"/>
  <c r="DU751" i="28"/>
  <c r="DV751" i="28"/>
  <c r="DW751" i="28"/>
  <c r="DX751" i="28"/>
  <c r="DY751" i="28"/>
  <c r="B755" i="28"/>
  <c r="C755" i="28"/>
  <c r="D755" i="28"/>
  <c r="E755" i="28"/>
  <c r="F755" i="28"/>
  <c r="G755" i="28"/>
  <c r="H755" i="28"/>
  <c r="I755" i="28"/>
  <c r="J755" i="28"/>
  <c r="K755" i="28"/>
  <c r="L755" i="28"/>
  <c r="M755" i="28"/>
  <c r="N755" i="28"/>
  <c r="O755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AC755" i="28"/>
  <c r="AD755" i="28"/>
  <c r="AE755" i="28"/>
  <c r="AF755" i="28"/>
  <c r="AG755" i="28"/>
  <c r="AH755" i="28"/>
  <c r="AI755" i="28"/>
  <c r="AJ755" i="28"/>
  <c r="AK755" i="28"/>
  <c r="AL755" i="28"/>
  <c r="AM755" i="28"/>
  <c r="C25" i="24" s="1"/>
  <c r="AN755" i="28"/>
  <c r="AO755" i="28"/>
  <c r="AP755" i="28"/>
  <c r="AQ755" i="28"/>
  <c r="AR755" i="28"/>
  <c r="AS755" i="28"/>
  <c r="AT755" i="28"/>
  <c r="AU755" i="28"/>
  <c r="AV755" i="28"/>
  <c r="AW755" i="28"/>
  <c r="AX755" i="28"/>
  <c r="AY755" i="28"/>
  <c r="AZ755" i="28"/>
  <c r="BA755" i="28"/>
  <c r="BB755" i="28"/>
  <c r="BC755" i="28"/>
  <c r="BD755" i="28"/>
  <c r="C32" i="24" s="1"/>
  <c r="BE755" i="28"/>
  <c r="BF755" i="28"/>
  <c r="BG755" i="28"/>
  <c r="C35" i="24" s="1"/>
  <c r="BH755" i="28"/>
  <c r="BI755" i="28"/>
  <c r="BJ755" i="28"/>
  <c r="BK755" i="28"/>
  <c r="BL755" i="28"/>
  <c r="C38" i="24" s="1"/>
  <c r="BM755" i="28"/>
  <c r="BN755" i="28"/>
  <c r="BO755" i="28"/>
  <c r="BP755" i="28"/>
  <c r="BQ755" i="28"/>
  <c r="BR755" i="28"/>
  <c r="BS755" i="28"/>
  <c r="BT755" i="28"/>
  <c r="BU755" i="28"/>
  <c r="BV755" i="28"/>
  <c r="BW755" i="28"/>
  <c r="BX755" i="28"/>
  <c r="BY755" i="28"/>
  <c r="BZ755" i="28"/>
  <c r="CA755" i="28"/>
  <c r="CB755" i="28"/>
  <c r="CC755" i="28"/>
  <c r="CD755" i="28"/>
  <c r="CE755" i="28"/>
  <c r="CF755" i="28"/>
  <c r="CG755" i="28"/>
  <c r="CH755" i="28"/>
  <c r="CI755" i="28"/>
  <c r="CJ755" i="28"/>
  <c r="CK755" i="28"/>
  <c r="CL755" i="28"/>
  <c r="CM755" i="28"/>
  <c r="CN755" i="28"/>
  <c r="CO755" i="28"/>
  <c r="CP755" i="28"/>
  <c r="CQ755" i="28"/>
  <c r="CR755" i="28"/>
  <c r="CS755" i="28"/>
  <c r="CT755" i="28"/>
  <c r="CU755" i="28"/>
  <c r="CV755" i="28"/>
  <c r="CW755" i="28"/>
  <c r="CX755" i="28"/>
  <c r="CY755" i="28"/>
  <c r="CZ755" i="28"/>
  <c r="DA755" i="28"/>
  <c r="DB755" i="28"/>
  <c r="DC755" i="28"/>
  <c r="DD755" i="28"/>
  <c r="DE755" i="28"/>
  <c r="DF755" i="28"/>
  <c r="DG755" i="28"/>
  <c r="DH755" i="28"/>
  <c r="DI755" i="28"/>
  <c r="DJ755" i="28"/>
  <c r="DK755" i="28"/>
  <c r="DL755" i="28"/>
  <c r="DM755" i="28"/>
  <c r="DN755" i="28"/>
  <c r="DO755" i="28"/>
  <c r="DP755" i="28"/>
  <c r="DQ755" i="28"/>
  <c r="DR755" i="28"/>
  <c r="DS755" i="28"/>
  <c r="DT755" i="28"/>
  <c r="DU755" i="28"/>
  <c r="DV755" i="28"/>
  <c r="DW755" i="28"/>
  <c r="DX755" i="28"/>
  <c r="DY755" i="28"/>
  <c r="B759" i="28"/>
  <c r="B760" i="28"/>
  <c r="L40" i="24" s="1"/>
  <c r="B761" i="28"/>
  <c r="B763" i="28"/>
  <c r="B764" i="28"/>
  <c r="B787" i="28"/>
  <c r="B807" i="28"/>
  <c r="C807" i="28"/>
  <c r="D807" i="28"/>
  <c r="E807" i="28"/>
  <c r="F807" i="28"/>
  <c r="G807" i="28"/>
  <c r="H807" i="28"/>
  <c r="I807" i="28"/>
  <c r="J807" i="28"/>
  <c r="K807" i="28"/>
  <c r="L807" i="28"/>
  <c r="M807" i="28"/>
  <c r="N807" i="28"/>
  <c r="O807" i="28"/>
  <c r="P807" i="28"/>
  <c r="Q807" i="28"/>
  <c r="R807" i="28"/>
  <c r="S807" i="28"/>
  <c r="T807" i="28"/>
  <c r="U807" i="28"/>
  <c r="B808" i="28"/>
  <c r="C808" i="28"/>
  <c r="D808" i="28"/>
  <c r="E808" i="28"/>
  <c r="F808" i="28"/>
  <c r="G808" i="28"/>
  <c r="H808" i="28"/>
  <c r="I808" i="28"/>
  <c r="J808" i="28"/>
  <c r="K808" i="28"/>
  <c r="L808" i="28"/>
  <c r="M808" i="28"/>
  <c r="N808" i="28"/>
  <c r="O808" i="28"/>
  <c r="P808" i="28"/>
  <c r="Q808" i="28"/>
  <c r="R808" i="28"/>
  <c r="S808" i="28"/>
  <c r="T808" i="28"/>
  <c r="U808" i="28"/>
  <c r="B809" i="28"/>
  <c r="C809" i="28"/>
  <c r="D809" i="28"/>
  <c r="E809" i="28"/>
  <c r="F809" i="28"/>
  <c r="G809" i="28"/>
  <c r="H809" i="28"/>
  <c r="I809" i="28"/>
  <c r="J809" i="28"/>
  <c r="K809" i="28"/>
  <c r="L809" i="28"/>
  <c r="M809" i="28"/>
  <c r="N809" i="28"/>
  <c r="O809" i="28"/>
  <c r="P809" i="28"/>
  <c r="Q809" i="28"/>
  <c r="R809" i="28"/>
  <c r="S809" i="28"/>
  <c r="T809" i="28"/>
  <c r="U809" i="28"/>
  <c r="B810" i="28"/>
  <c r="C810" i="28"/>
  <c r="D810" i="28"/>
  <c r="E810" i="28"/>
  <c r="F810" i="28"/>
  <c r="G810" i="28"/>
  <c r="H810" i="28"/>
  <c r="I810" i="28"/>
  <c r="J810" i="28"/>
  <c r="K810" i="28"/>
  <c r="L810" i="28"/>
  <c r="M810" i="28"/>
  <c r="N810" i="28"/>
  <c r="O810" i="28"/>
  <c r="P810" i="28"/>
  <c r="Q810" i="28"/>
  <c r="R810" i="28"/>
  <c r="S810" i="28"/>
  <c r="T810" i="28"/>
  <c r="U810" i="28"/>
  <c r="B811" i="28"/>
  <c r="C811" i="28"/>
  <c r="D811" i="28"/>
  <c r="E811" i="28"/>
  <c r="F811" i="28"/>
  <c r="G811" i="28"/>
  <c r="H811" i="28"/>
  <c r="I811" i="28"/>
  <c r="J811" i="28"/>
  <c r="K811" i="28"/>
  <c r="L811" i="28"/>
  <c r="M811" i="28"/>
  <c r="N811" i="28"/>
  <c r="O811" i="28"/>
  <c r="P811" i="28"/>
  <c r="Q811" i="28"/>
  <c r="R811" i="28"/>
  <c r="S811" i="28"/>
  <c r="T811" i="28"/>
  <c r="U811" i="28"/>
  <c r="B812" i="28"/>
  <c r="C812" i="28"/>
  <c r="D812" i="28"/>
  <c r="E812" i="28"/>
  <c r="F812" i="28"/>
  <c r="G812" i="28"/>
  <c r="H812" i="28"/>
  <c r="I812" i="28"/>
  <c r="J812" i="28"/>
  <c r="K812" i="28"/>
  <c r="L812" i="28"/>
  <c r="M812" i="28"/>
  <c r="N812" i="28"/>
  <c r="O812" i="28"/>
  <c r="P812" i="28"/>
  <c r="Q812" i="28"/>
  <c r="R812" i="28"/>
  <c r="S812" i="28"/>
  <c r="T812" i="28"/>
  <c r="U812" i="28"/>
  <c r="B813" i="28"/>
  <c r="C813" i="28"/>
  <c r="D813" i="28"/>
  <c r="E813" i="28"/>
  <c r="F813" i="28"/>
  <c r="G813" i="28"/>
  <c r="H813" i="28"/>
  <c r="I813" i="28"/>
  <c r="J813" i="28"/>
  <c r="K813" i="28"/>
  <c r="L813" i="28"/>
  <c r="M813" i="28"/>
  <c r="N813" i="28"/>
  <c r="O813" i="28"/>
  <c r="P813" i="28"/>
  <c r="Q813" i="28"/>
  <c r="R813" i="28"/>
  <c r="S813" i="28"/>
  <c r="T813" i="28"/>
  <c r="U813" i="28"/>
  <c r="B814" i="28"/>
  <c r="I23" i="20" s="1"/>
  <c r="C814" i="28"/>
  <c r="D814" i="28"/>
  <c r="E814" i="28"/>
  <c r="F814" i="28"/>
  <c r="I27" i="20" s="1"/>
  <c r="G814" i="28"/>
  <c r="H814" i="28"/>
  <c r="I814" i="28"/>
  <c r="I30" i="20" s="1"/>
  <c r="J814" i="28"/>
  <c r="I31" i="20" s="1"/>
  <c r="K814" i="28"/>
  <c r="I32" i="20" s="1"/>
  <c r="L814" i="28"/>
  <c r="M814" i="28"/>
  <c r="N814" i="28"/>
  <c r="O814" i="28"/>
  <c r="P814" i="28"/>
  <c r="Q814" i="28"/>
  <c r="R814" i="28"/>
  <c r="S814" i="28"/>
  <c r="T814" i="28"/>
  <c r="U814" i="28"/>
  <c r="B815" i="28"/>
  <c r="O23" i="20" s="1"/>
  <c r="C815" i="28"/>
  <c r="O24" i="20" s="1"/>
  <c r="D815" i="28"/>
  <c r="E815" i="28"/>
  <c r="O26" i="20" s="1"/>
  <c r="F815" i="28"/>
  <c r="O27" i="20" s="1"/>
  <c r="G815" i="28"/>
  <c r="H815" i="28"/>
  <c r="I815" i="28"/>
  <c r="O30" i="20" s="1"/>
  <c r="J815" i="28"/>
  <c r="O31" i="20" s="1"/>
  <c r="K815" i="28"/>
  <c r="O32" i="20" s="1"/>
  <c r="L815" i="28"/>
  <c r="M815" i="28"/>
  <c r="N815" i="28"/>
  <c r="O815" i="28"/>
  <c r="P815" i="28"/>
  <c r="Q815" i="28"/>
  <c r="R815" i="28"/>
  <c r="S815" i="28"/>
  <c r="T815" i="28"/>
  <c r="U815" i="28"/>
  <c r="B816" i="28"/>
  <c r="U23" i="20" s="1"/>
  <c r="C816" i="28"/>
  <c r="D816" i="28"/>
  <c r="U25" i="20" s="1"/>
  <c r="E816" i="28"/>
  <c r="U26" i="20" s="1"/>
  <c r="F816" i="28"/>
  <c r="U27" i="20" s="1"/>
  <c r="G816" i="28"/>
  <c r="H816" i="28"/>
  <c r="I816" i="28"/>
  <c r="J816" i="28"/>
  <c r="U31" i="20" s="1"/>
  <c r="K816" i="28"/>
  <c r="L816" i="28"/>
  <c r="M816" i="28"/>
  <c r="N816" i="28"/>
  <c r="O816" i="28"/>
  <c r="P816" i="28"/>
  <c r="Q816" i="28"/>
  <c r="R816" i="28"/>
  <c r="S816" i="28"/>
  <c r="T816" i="28"/>
  <c r="U816" i="28"/>
  <c r="B818" i="28"/>
  <c r="F23" i="20" s="1"/>
  <c r="C818" i="28"/>
  <c r="D818" i="28"/>
  <c r="E818" i="28"/>
  <c r="F26" i="20" s="1"/>
  <c r="F818" i="28"/>
  <c r="F27" i="20" s="1"/>
  <c r="G818" i="28"/>
  <c r="H818" i="28"/>
  <c r="F29" i="20" s="1"/>
  <c r="I818" i="28"/>
  <c r="J818" i="28"/>
  <c r="F31" i="20" s="1"/>
  <c r="K818" i="28"/>
  <c r="L818" i="28"/>
  <c r="M818" i="28"/>
  <c r="N818" i="28"/>
  <c r="O818" i="28"/>
  <c r="P818" i="28"/>
  <c r="Q818" i="28"/>
  <c r="R818" i="28"/>
  <c r="S818" i="28"/>
  <c r="T818" i="28"/>
  <c r="U818" i="28"/>
  <c r="B819" i="28"/>
  <c r="C819" i="28"/>
  <c r="D819" i="28"/>
  <c r="E819" i="28"/>
  <c r="L26" i="20" s="1"/>
  <c r="F819" i="28"/>
  <c r="L27" i="20" s="1"/>
  <c r="G819" i="28"/>
  <c r="H819" i="28"/>
  <c r="I819" i="28"/>
  <c r="L30" i="20" s="1"/>
  <c r="J819" i="28"/>
  <c r="L31" i="20" s="1"/>
  <c r="K819" i="28"/>
  <c r="L819" i="28"/>
  <c r="M819" i="28"/>
  <c r="N819" i="28"/>
  <c r="O819" i="28"/>
  <c r="P819" i="28"/>
  <c r="Q819" i="28"/>
  <c r="R819" i="28"/>
  <c r="S819" i="28"/>
  <c r="T819" i="28"/>
  <c r="U819" i="28"/>
  <c r="B820" i="28"/>
  <c r="R23" i="20" s="1"/>
  <c r="C820" i="28"/>
  <c r="R24" i="20" s="1"/>
  <c r="D820" i="28"/>
  <c r="E820" i="28"/>
  <c r="R26" i="20" s="1"/>
  <c r="F820" i="28"/>
  <c r="G820" i="28"/>
  <c r="H820" i="28"/>
  <c r="I820" i="28"/>
  <c r="R30" i="20" s="1"/>
  <c r="J820" i="28"/>
  <c r="R31" i="20" s="1"/>
  <c r="K820" i="28"/>
  <c r="L820" i="28"/>
  <c r="M820" i="28"/>
  <c r="N820" i="28"/>
  <c r="O820" i="28"/>
  <c r="P820" i="28"/>
  <c r="Q820" i="28"/>
  <c r="R820" i="28"/>
  <c r="S820" i="28"/>
  <c r="T820" i="28"/>
  <c r="U820" i="28"/>
  <c r="B822" i="28"/>
  <c r="C822" i="28"/>
  <c r="D822" i="28"/>
  <c r="E822" i="28"/>
  <c r="F822" i="28"/>
  <c r="G822" i="28"/>
  <c r="H822" i="28"/>
  <c r="I822" i="28"/>
  <c r="J822" i="28"/>
  <c r="K822" i="28"/>
  <c r="L822" i="28"/>
  <c r="M822" i="28"/>
  <c r="N822" i="28"/>
  <c r="O822" i="28"/>
  <c r="P822" i="28"/>
  <c r="Q822" i="28"/>
  <c r="R822" i="28"/>
  <c r="S822" i="28"/>
  <c r="T822" i="28"/>
  <c r="U822" i="28"/>
  <c r="B826" i="28"/>
  <c r="G17" i="20" s="1"/>
  <c r="B827" i="28"/>
  <c r="B829" i="28"/>
  <c r="B830" i="28"/>
  <c r="B832" i="28"/>
  <c r="B833" i="28"/>
  <c r="B857" i="28"/>
  <c r="B858" i="28"/>
  <c r="B859" i="28"/>
  <c r="B860" i="28"/>
  <c r="B861" i="28"/>
  <c r="B862" i="28"/>
  <c r="B863" i="28"/>
  <c r="B864" i="28"/>
  <c r="B865" i="28"/>
  <c r="B866" i="28"/>
  <c r="B867" i="28"/>
  <c r="B868" i="28"/>
  <c r="B869" i="28"/>
  <c r="B870" i="28"/>
  <c r="B871" i="28"/>
  <c r="B872" i="28"/>
  <c r="B876" i="28"/>
  <c r="C876" i="28"/>
  <c r="D876" i="28"/>
  <c r="E876" i="28"/>
  <c r="F876" i="28"/>
  <c r="G876" i="28"/>
  <c r="H876" i="28"/>
  <c r="B877" i="28"/>
  <c r="C877" i="28"/>
  <c r="D877" i="28"/>
  <c r="E877" i="28"/>
  <c r="F877" i="28"/>
  <c r="G877" i="28"/>
  <c r="H877" i="28"/>
  <c r="B878" i="28"/>
  <c r="C878" i="28"/>
  <c r="D878" i="28"/>
  <c r="E878" i="28"/>
  <c r="F878" i="28"/>
  <c r="G878" i="28"/>
  <c r="H878" i="28"/>
  <c r="B879" i="28"/>
  <c r="C879" i="28"/>
  <c r="D879" i="28"/>
  <c r="E879" i="28"/>
  <c r="F879" i="28"/>
  <c r="G879" i="28"/>
  <c r="H879" i="28"/>
  <c r="B882" i="28"/>
  <c r="C882" i="28"/>
  <c r="D882" i="28"/>
  <c r="E882" i="28"/>
  <c r="F882" i="28"/>
  <c r="G882" i="28"/>
  <c r="H882" i="28"/>
  <c r="B883" i="28"/>
  <c r="C883" i="28"/>
  <c r="D883" i="28"/>
  <c r="E883" i="28"/>
  <c r="F883" i="28"/>
  <c r="G883" i="28"/>
  <c r="H883" i="28"/>
  <c r="B884" i="28"/>
  <c r="C884" i="28"/>
  <c r="D884" i="28"/>
  <c r="E884" i="28"/>
  <c r="F884" i="28"/>
  <c r="G884" i="28"/>
  <c r="H884" i="28"/>
  <c r="B885" i="28"/>
  <c r="C885" i="28"/>
  <c r="D885" i="28"/>
  <c r="E885" i="28"/>
  <c r="F885" i="28"/>
  <c r="G885" i="28"/>
  <c r="H885" i="28"/>
  <c r="B886" i="28"/>
  <c r="C886" i="28"/>
  <c r="D886" i="28"/>
  <c r="E886" i="28"/>
  <c r="F886" i="28"/>
  <c r="G886" i="28"/>
  <c r="H886" i="28"/>
  <c r="B887" i="28"/>
  <c r="C887" i="28"/>
  <c r="D887" i="28"/>
  <c r="E887" i="28"/>
  <c r="F887" i="28"/>
  <c r="G887" i="28"/>
  <c r="H887" i="28"/>
  <c r="B888" i="28"/>
  <c r="C888" i="28"/>
  <c r="D888" i="28"/>
  <c r="E888" i="28"/>
  <c r="F888" i="28"/>
  <c r="G888" i="28"/>
  <c r="H888" i="28"/>
  <c r="B889" i="28"/>
  <c r="C889" i="28"/>
  <c r="D889" i="28"/>
  <c r="E889" i="28"/>
  <c r="F889" i="28"/>
  <c r="G889" i="28"/>
  <c r="H889" i="28"/>
  <c r="B890" i="28"/>
  <c r="C890" i="28"/>
  <c r="D890" i="28"/>
  <c r="E890" i="28"/>
  <c r="F890" i="28"/>
  <c r="G890" i="28"/>
  <c r="H890" i="28"/>
  <c r="B891" i="28"/>
  <c r="C891" i="28"/>
  <c r="D891" i="28"/>
  <c r="E891" i="28"/>
  <c r="F891" i="28"/>
  <c r="G891" i="28"/>
  <c r="H891" i="28"/>
  <c r="B892" i="28"/>
  <c r="C892" i="28"/>
  <c r="D892" i="28"/>
  <c r="E892" i="28"/>
  <c r="F892" i="28"/>
  <c r="G892" i="28"/>
  <c r="H892" i="28"/>
  <c r="B897" i="28"/>
  <c r="B898" i="28"/>
  <c r="B899" i="28"/>
  <c r="B900" i="28"/>
  <c r="B901" i="28"/>
  <c r="B902" i="28"/>
  <c r="B903" i="28"/>
  <c r="B904" i="28"/>
  <c r="B905" i="28"/>
  <c r="B906" i="28"/>
  <c r="B907" i="28"/>
  <c r="B908" i="28"/>
  <c r="B909" i="28"/>
  <c r="B910" i="28"/>
  <c r="B911" i="28"/>
  <c r="B912" i="28"/>
  <c r="B913" i="28"/>
  <c r="B914" i="28"/>
  <c r="B915" i="28"/>
  <c r="B916" i="28"/>
  <c r="B917" i="28"/>
  <c r="B918" i="28"/>
  <c r="B919" i="28"/>
  <c r="B920" i="28"/>
  <c r="B921" i="28"/>
  <c r="B922" i="28"/>
  <c r="B923" i="28"/>
  <c r="B924" i="28"/>
  <c r="B925" i="28"/>
  <c r="B926" i="28"/>
  <c r="B927" i="28"/>
  <c r="B928" i="28"/>
  <c r="B929" i="28"/>
  <c r="B930" i="28"/>
  <c r="B931" i="28"/>
  <c r="B932" i="28"/>
  <c r="B933" i="28"/>
  <c r="B934" i="28"/>
  <c r="B935" i="28"/>
  <c r="B936" i="28"/>
  <c r="B937" i="28"/>
  <c r="B938" i="28"/>
  <c r="B939" i="28"/>
  <c r="B940" i="28"/>
  <c r="B941" i="28"/>
  <c r="B942" i="28"/>
  <c r="B943" i="28"/>
  <c r="B944" i="28"/>
  <c r="B945" i="28"/>
  <c r="B946" i="28"/>
  <c r="B947" i="28"/>
  <c r="B948" i="28"/>
  <c r="B949" i="28"/>
  <c r="B950" i="28"/>
  <c r="B951" i="28"/>
  <c r="B952" i="28"/>
  <c r="B953" i="28"/>
  <c r="B954" i="28"/>
  <c r="B955" i="28"/>
  <c r="B956" i="28"/>
  <c r="B957" i="28"/>
  <c r="B958" i="28"/>
  <c r="B959" i="28"/>
  <c r="B960" i="28"/>
  <c r="B961" i="28"/>
  <c r="B962" i="28"/>
  <c r="B963" i="28"/>
  <c r="B964" i="28"/>
  <c r="B965" i="28"/>
  <c r="B966" i="28"/>
  <c r="B967" i="28"/>
  <c r="B968" i="28"/>
  <c r="B969" i="28"/>
  <c r="B970" i="28"/>
  <c r="B971" i="28"/>
  <c r="B972" i="28"/>
  <c r="B973" i="28"/>
  <c r="B974" i="28"/>
  <c r="B975" i="28"/>
  <c r="B976" i="28"/>
  <c r="B977" i="28"/>
  <c r="B978" i="28"/>
  <c r="B979" i="28"/>
  <c r="B980" i="28"/>
  <c r="B981" i="28"/>
  <c r="B982" i="28"/>
  <c r="B983" i="28"/>
  <c r="B984" i="28"/>
  <c r="B985" i="28"/>
  <c r="B986" i="28"/>
  <c r="B987" i="28"/>
  <c r="B988" i="28"/>
  <c r="B989" i="28"/>
  <c r="B990" i="28"/>
  <c r="B991" i="28"/>
  <c r="B992" i="28"/>
  <c r="B993" i="28"/>
  <c r="B994" i="28"/>
  <c r="B995" i="28"/>
  <c r="B996" i="28"/>
  <c r="B997" i="28"/>
  <c r="B998" i="28"/>
  <c r="B999" i="28"/>
  <c r="B1000" i="28"/>
  <c r="B1001" i="28"/>
  <c r="B1002" i="28"/>
  <c r="B1003" i="28"/>
  <c r="B1004" i="28"/>
  <c r="B1005" i="28"/>
  <c r="B1006" i="28"/>
  <c r="B1007" i="28"/>
  <c r="B1008" i="28"/>
  <c r="B1009" i="28"/>
  <c r="B1010" i="28"/>
  <c r="B1011" i="28"/>
  <c r="B1012" i="28"/>
  <c r="B1013" i="28"/>
  <c r="B1014" i="28"/>
  <c r="B1015" i="28"/>
  <c r="B1016" i="28"/>
  <c r="B1067" i="28"/>
  <c r="C1067" i="28"/>
  <c r="D1067" i="28"/>
  <c r="E1067" i="28"/>
  <c r="B1115" i="28"/>
  <c r="C1115" i="28"/>
  <c r="D1115" i="28"/>
  <c r="E1115" i="28"/>
  <c r="B1163" i="28"/>
  <c r="C1163" i="28"/>
  <c r="D1163" i="28"/>
  <c r="E1163" i="28"/>
  <c r="B1168" i="28"/>
  <c r="B1169" i="28"/>
  <c r="G47" i="19" s="1"/>
  <c r="B1170" i="28"/>
  <c r="B1171" i="28"/>
  <c r="B1175" i="28"/>
  <c r="B1197" i="28"/>
  <c r="C1197" i="28"/>
  <c r="D1197" i="28"/>
  <c r="E1197" i="28"/>
  <c r="F1197" i="28"/>
  <c r="G1197" i="28"/>
  <c r="H1197" i="28"/>
  <c r="I1197" i="28"/>
  <c r="J1197" i="28"/>
  <c r="K1197" i="28"/>
  <c r="L1197" i="28"/>
  <c r="M1197" i="28"/>
  <c r="N1197" i="28"/>
  <c r="O1197" i="28"/>
  <c r="P1197" i="28"/>
  <c r="Q1197" i="28"/>
  <c r="B1229" i="28"/>
  <c r="W40" i="19" s="1"/>
  <c r="C1229" i="28"/>
  <c r="D1229" i="28"/>
  <c r="E1229" i="28"/>
  <c r="AH47" i="19" s="1"/>
  <c r="F1229" i="28"/>
  <c r="G1229" i="28"/>
  <c r="H1229" i="28"/>
  <c r="I1229" i="28"/>
  <c r="J1229" i="28"/>
  <c r="K1229" i="28"/>
  <c r="L1229" i="28"/>
  <c r="M1229" i="28"/>
  <c r="N1229" i="28"/>
  <c r="O1229" i="28"/>
  <c r="P1229" i="28"/>
  <c r="Q1229" i="28"/>
  <c r="B1231" i="28"/>
  <c r="W38" i="19" s="1"/>
  <c r="C1231" i="28"/>
  <c r="W45" i="19" s="1"/>
  <c r="D1231" i="28"/>
  <c r="E1231" i="28"/>
  <c r="AH45" i="19" s="1"/>
  <c r="F1231" i="28"/>
  <c r="G1231" i="28"/>
  <c r="H1231" i="28"/>
  <c r="I1231" i="28"/>
  <c r="J1231" i="28"/>
  <c r="K1231" i="28"/>
  <c r="L1231" i="28"/>
  <c r="M1231" i="28"/>
  <c r="N1231" i="28"/>
  <c r="O1231" i="28"/>
  <c r="P1231" i="28"/>
  <c r="Q1231" i="28"/>
  <c r="B1232" i="28"/>
  <c r="W39" i="19" s="1"/>
  <c r="C1232" i="28"/>
  <c r="D1232" i="28"/>
  <c r="E1232" i="28"/>
  <c r="F1232" i="28"/>
  <c r="G1232" i="28"/>
  <c r="H1232" i="28"/>
  <c r="I1232" i="28"/>
  <c r="J1232" i="28"/>
  <c r="K1232" i="28"/>
  <c r="L1232" i="28"/>
  <c r="M1232" i="28"/>
  <c r="N1232" i="28"/>
  <c r="O1232" i="28"/>
  <c r="P1232" i="28"/>
  <c r="Q1232" i="28"/>
  <c r="B1241" i="28"/>
  <c r="S38" i="19" s="1"/>
  <c r="C1241" i="28"/>
  <c r="S45" i="19" s="1"/>
  <c r="D1241" i="28"/>
  <c r="E1241" i="28"/>
  <c r="F1241" i="28"/>
  <c r="G1241" i="28"/>
  <c r="H1241" i="28"/>
  <c r="I1241" i="28"/>
  <c r="J1241" i="28"/>
  <c r="K1241" i="28"/>
  <c r="L1241" i="28"/>
  <c r="M1241" i="28"/>
  <c r="N1241" i="28"/>
  <c r="O1241" i="28"/>
  <c r="P1241" i="28"/>
  <c r="Q1241" i="28"/>
  <c r="B1247" i="28"/>
  <c r="C1247" i="28"/>
  <c r="D1247" i="28"/>
  <c r="E1247" i="28"/>
  <c r="F1247" i="28"/>
  <c r="G1247" i="28"/>
  <c r="H1247" i="28"/>
  <c r="I1247" i="28"/>
  <c r="J1247" i="28"/>
  <c r="K1247" i="28"/>
  <c r="L1247" i="28"/>
  <c r="M1247" i="28"/>
  <c r="N1247" i="28"/>
  <c r="O1247" i="28"/>
  <c r="P1247" i="28"/>
  <c r="Q1247" i="28"/>
  <c r="R1247" i="28"/>
  <c r="S1247" i="28"/>
  <c r="T1247" i="28"/>
  <c r="U1247" i="28"/>
  <c r="V1247" i="28"/>
  <c r="W1247" i="28"/>
  <c r="X1247" i="28"/>
  <c r="Y1247" i="28"/>
  <c r="Z1247" i="28"/>
  <c r="AA1247" i="28"/>
  <c r="AB1247" i="28"/>
  <c r="AC1247" i="28"/>
  <c r="AD1247" i="28"/>
  <c r="AE1247" i="28"/>
  <c r="AF1247" i="28"/>
  <c r="AG1247" i="28"/>
  <c r="AH1247" i="28"/>
  <c r="AI1247" i="28"/>
  <c r="AJ1247" i="28"/>
  <c r="AK1247" i="28"/>
  <c r="AL1247" i="28"/>
  <c r="AM1247" i="28"/>
  <c r="AN1247" i="28"/>
  <c r="AO1247" i="28"/>
  <c r="AP1247" i="28"/>
  <c r="AQ1247" i="28"/>
  <c r="AR1247" i="28"/>
  <c r="AS1247" i="28"/>
  <c r="AT1247" i="28"/>
  <c r="AU1247" i="28"/>
  <c r="AV1247" i="28"/>
  <c r="AW1247" i="28"/>
  <c r="B1253" i="28"/>
  <c r="C1253" i="28"/>
  <c r="D1253" i="28"/>
  <c r="E1253" i="28"/>
  <c r="F1253" i="28"/>
  <c r="G1253" i="28"/>
  <c r="H1253" i="28"/>
  <c r="I1253" i="28"/>
  <c r="J1253" i="28"/>
  <c r="K1253" i="28"/>
  <c r="L1253" i="28"/>
  <c r="M1253" i="28"/>
  <c r="N1253" i="28"/>
  <c r="O1253" i="28"/>
  <c r="P1253" i="28"/>
  <c r="Q1253" i="28"/>
  <c r="R1253" i="28"/>
  <c r="S1253" i="28"/>
  <c r="T1253" i="28"/>
  <c r="U1253" i="28"/>
  <c r="V1253" i="28"/>
  <c r="W1253" i="28"/>
  <c r="X1253" i="28"/>
  <c r="Y1253" i="28"/>
  <c r="Z1253" i="28"/>
  <c r="AA1253" i="28"/>
  <c r="AB1253" i="28"/>
  <c r="AC1253" i="28"/>
  <c r="AD1253" i="28"/>
  <c r="AE1253" i="28"/>
  <c r="AF1253" i="28"/>
  <c r="AG1253" i="28"/>
  <c r="AH1253" i="28"/>
  <c r="AI1253" i="28"/>
  <c r="AJ1253" i="28"/>
  <c r="AK1253" i="28"/>
  <c r="AL1253" i="28"/>
  <c r="AM1253" i="28"/>
  <c r="AN1253" i="28"/>
  <c r="AO1253" i="28"/>
  <c r="AP1253" i="28"/>
  <c r="AQ1253" i="28"/>
  <c r="AR1253" i="28"/>
  <c r="AS1253" i="28"/>
  <c r="AT1253" i="28"/>
  <c r="AU1253" i="28"/>
  <c r="AV1253" i="28"/>
  <c r="AW1253" i="28"/>
  <c r="B1255" i="28"/>
  <c r="C1255" i="28"/>
  <c r="D1255" i="28"/>
  <c r="E1255" i="28"/>
  <c r="F1255" i="28"/>
  <c r="G1255" i="28"/>
  <c r="H1255" i="28"/>
  <c r="I1255" i="28"/>
  <c r="J1255" i="28"/>
  <c r="K1255" i="28"/>
  <c r="L1255" i="28"/>
  <c r="M1255" i="28"/>
  <c r="N1255" i="28"/>
  <c r="O1255" i="28"/>
  <c r="P1255" i="28"/>
  <c r="Q1255" i="28"/>
  <c r="R1255" i="28"/>
  <c r="S1255" i="28"/>
  <c r="T1255" i="28"/>
  <c r="U1255" i="28"/>
  <c r="V1255" i="28"/>
  <c r="W1255" i="28"/>
  <c r="X1255" i="28"/>
  <c r="Y1255" i="28"/>
  <c r="Z1255" i="28"/>
  <c r="AA1255" i="28"/>
  <c r="AB1255" i="28"/>
  <c r="AC1255" i="28"/>
  <c r="AD1255" i="28"/>
  <c r="AE1255" i="28"/>
  <c r="AF1255" i="28"/>
  <c r="AG1255" i="28"/>
  <c r="AH1255" i="28"/>
  <c r="AI1255" i="28"/>
  <c r="AJ1255" i="28"/>
  <c r="AK1255" i="28"/>
  <c r="AL1255" i="28"/>
  <c r="AM1255" i="28"/>
  <c r="AN1255" i="28"/>
  <c r="AO1255" i="28"/>
  <c r="AP1255" i="28"/>
  <c r="AQ1255" i="28"/>
  <c r="AR1255" i="28"/>
  <c r="AS1255" i="28"/>
  <c r="AT1255" i="28"/>
  <c r="AU1255" i="28"/>
  <c r="AV1255" i="28"/>
  <c r="AW1255" i="28"/>
  <c r="B1258" i="28"/>
  <c r="C1258" i="28"/>
  <c r="D1258" i="28"/>
  <c r="E1258" i="28"/>
  <c r="F1258" i="28"/>
  <c r="G1258" i="28"/>
  <c r="H1258" i="28"/>
  <c r="I1258" i="28"/>
  <c r="J1258" i="28"/>
  <c r="K1258" i="28"/>
  <c r="L1258" i="28"/>
  <c r="M1258" i="28"/>
  <c r="AF36" i="18" s="1"/>
  <c r="N1258" i="28"/>
  <c r="AF39" i="18" s="1"/>
  <c r="O1258" i="28"/>
  <c r="P1258" i="28"/>
  <c r="Q1258" i="28"/>
  <c r="R1258" i="28"/>
  <c r="S1258" i="28"/>
  <c r="T1258" i="28"/>
  <c r="U1258" i="28"/>
  <c r="V1258" i="28"/>
  <c r="AF6" i="31" s="1"/>
  <c r="W1258" i="28"/>
  <c r="X1258" i="28"/>
  <c r="Y1258" i="28"/>
  <c r="AF15" i="31" s="1"/>
  <c r="Z1258" i="28"/>
  <c r="AA1258" i="28"/>
  <c r="AB1258" i="28"/>
  <c r="AC1258" i="28"/>
  <c r="AD1258" i="28"/>
  <c r="AF30" i="31" s="1"/>
  <c r="AE1258" i="28"/>
  <c r="AF1258" i="28"/>
  <c r="AG1258" i="28"/>
  <c r="AF39" i="31" s="1"/>
  <c r="AH1258" i="28"/>
  <c r="AI1258" i="28"/>
  <c r="AJ1258" i="28"/>
  <c r="AK1258" i="28"/>
  <c r="AL1258" i="28"/>
  <c r="AM1258" i="28"/>
  <c r="AN1258" i="28"/>
  <c r="AO1258" i="28"/>
  <c r="AP1258" i="28"/>
  <c r="AQ1258" i="28"/>
  <c r="AR1258" i="28"/>
  <c r="AS1258" i="28"/>
  <c r="AT1258" i="28"/>
  <c r="AU1258" i="28"/>
  <c r="AV1258" i="28"/>
  <c r="AW1258" i="28"/>
  <c r="B1259" i="28"/>
  <c r="C1259" i="28"/>
  <c r="D1259" i="28"/>
  <c r="E1259" i="28"/>
  <c r="F1259" i="28"/>
  <c r="G1259" i="28"/>
  <c r="H1259" i="28"/>
  <c r="I1259" i="28"/>
  <c r="J1259" i="28"/>
  <c r="K1259" i="28"/>
  <c r="L1259" i="28"/>
  <c r="M1259" i="28"/>
  <c r="N1259" i="28"/>
  <c r="O1259" i="28"/>
  <c r="P1259" i="28"/>
  <c r="Q1259" i="28"/>
  <c r="R1259" i="28"/>
  <c r="S1259" i="28"/>
  <c r="T1259" i="28"/>
  <c r="U1259" i="28"/>
  <c r="V1259" i="28"/>
  <c r="W1259" i="28"/>
  <c r="X1259" i="28"/>
  <c r="Y1259" i="28"/>
  <c r="Z1259" i="28"/>
  <c r="AA1259" i="28"/>
  <c r="AB1259" i="28"/>
  <c r="AC1259" i="28"/>
  <c r="AD1259" i="28"/>
  <c r="AE1259" i="28"/>
  <c r="AF1259" i="28"/>
  <c r="AG1259" i="28"/>
  <c r="AH1259" i="28"/>
  <c r="AI1259" i="28"/>
  <c r="AJ1259" i="28"/>
  <c r="AK1259" i="28"/>
  <c r="AL1259" i="28"/>
  <c r="AM1259" i="28"/>
  <c r="AN1259" i="28"/>
  <c r="AO1259" i="28"/>
  <c r="AP1259" i="28"/>
  <c r="AQ1259" i="28"/>
  <c r="AR1259" i="28"/>
  <c r="AS1259" i="28"/>
  <c r="AT1259" i="28"/>
  <c r="AU1259" i="28"/>
  <c r="AV1259" i="28"/>
  <c r="AW1259" i="28"/>
  <c r="B1261" i="28"/>
  <c r="AI4" i="22" s="1"/>
  <c r="C1261" i="28"/>
  <c r="D1261" i="28"/>
  <c r="E1261" i="28"/>
  <c r="AI7" i="22" s="1"/>
  <c r="F1261" i="28"/>
  <c r="G1261" i="28"/>
  <c r="AI9" i="22" s="1"/>
  <c r="H1261" i="28"/>
  <c r="I1261" i="28"/>
  <c r="J1261" i="28"/>
  <c r="AI12" i="22" s="1"/>
  <c r="K1261" i="28"/>
  <c r="L1261" i="28"/>
  <c r="M1261" i="28"/>
  <c r="N1261" i="28"/>
  <c r="O1261" i="28"/>
  <c r="P1261" i="28"/>
  <c r="AI18" i="22" s="1"/>
  <c r="Q1261" i="28"/>
  <c r="AI19" i="22" s="1"/>
  <c r="R1261" i="28"/>
  <c r="AI20" i="22" s="1"/>
  <c r="S1261" i="28"/>
  <c r="T1261" i="28"/>
  <c r="U1261" i="28"/>
  <c r="AI23" i="22" s="1"/>
  <c r="V1261" i="28"/>
  <c r="W1261" i="28"/>
  <c r="X1261" i="28"/>
  <c r="Y1261" i="28"/>
  <c r="Z1261" i="28"/>
  <c r="AA1261" i="28"/>
  <c r="AB1261" i="28"/>
  <c r="AC1261" i="28"/>
  <c r="AD1261" i="28"/>
  <c r="AE1261" i="28"/>
  <c r="AF1261" i="28"/>
  <c r="AG1261" i="28"/>
  <c r="AH1261" i="28"/>
  <c r="AI1261" i="28"/>
  <c r="AJ1261" i="28"/>
  <c r="AK1261" i="28"/>
  <c r="AL1261" i="28"/>
  <c r="AM1261" i="28"/>
  <c r="AN1261" i="28"/>
  <c r="AO1261" i="28"/>
  <c r="AP1261" i="28"/>
  <c r="AQ1261" i="28"/>
  <c r="AR1261" i="28"/>
  <c r="AS1261" i="28"/>
  <c r="AT1261" i="28"/>
  <c r="AU1261" i="28"/>
  <c r="AV1261" i="28"/>
  <c r="AW1261" i="28"/>
  <c r="B1262" i="28"/>
  <c r="AI3" i="18" s="1"/>
  <c r="C1262" i="28"/>
  <c r="D1262" i="28"/>
  <c r="E1262" i="28"/>
  <c r="AI12" i="18" s="1"/>
  <c r="F1262" i="28"/>
  <c r="AI15" i="18" s="1"/>
  <c r="G1262" i="28"/>
  <c r="AI18" i="18" s="1"/>
  <c r="H1262" i="28"/>
  <c r="AI21" i="18" s="1"/>
  <c r="I1262" i="28"/>
  <c r="AI24" i="18" s="1"/>
  <c r="J1262" i="28"/>
  <c r="AI27" i="18" s="1"/>
  <c r="K1262" i="28"/>
  <c r="L1262" i="28"/>
  <c r="M1262" i="28"/>
  <c r="AI36" i="18" s="1"/>
  <c r="N1262" i="28"/>
  <c r="AI39" i="18" s="1"/>
  <c r="O1262" i="28"/>
  <c r="P1262" i="28"/>
  <c r="Q1262" i="28"/>
  <c r="R1262" i="28"/>
  <c r="S1262" i="28"/>
  <c r="T1262" i="28"/>
  <c r="U1262" i="28"/>
  <c r="AI3" i="31" s="1"/>
  <c r="V1262" i="28"/>
  <c r="W1262" i="28"/>
  <c r="X1262" i="28"/>
  <c r="AI12" i="31" s="1"/>
  <c r="Y1262" i="28"/>
  <c r="AI15" i="31" s="1"/>
  <c r="Z1262" i="28"/>
  <c r="AI18" i="31" s="1"/>
  <c r="AA1262" i="28"/>
  <c r="AB1262" i="28"/>
  <c r="AC1262" i="28"/>
  <c r="AD1262" i="28"/>
  <c r="AI30" i="31" s="1"/>
  <c r="AE1262" i="28"/>
  <c r="AF1262" i="28"/>
  <c r="AG1262" i="28"/>
  <c r="AI39" i="31" s="1"/>
  <c r="AH1262" i="28"/>
  <c r="AI1262" i="28"/>
  <c r="AJ1262" i="28"/>
  <c r="AK1262" i="28"/>
  <c r="AL1262" i="28"/>
  <c r="AM1262" i="28"/>
  <c r="AN1262" i="28"/>
  <c r="AO1262" i="28"/>
  <c r="AP1262" i="28"/>
  <c r="AQ1262" i="28"/>
  <c r="AR1262" i="28"/>
  <c r="AS1262" i="28"/>
  <c r="AT1262" i="28"/>
  <c r="AU1262" i="28"/>
  <c r="AV1262" i="28"/>
  <c r="AW1262" i="28"/>
  <c r="B1263" i="28"/>
  <c r="C1263" i="28"/>
  <c r="D1263" i="28"/>
  <c r="E1263" i="28"/>
  <c r="F1263" i="28"/>
  <c r="G1263" i="28"/>
  <c r="H1263" i="28"/>
  <c r="I1263" i="28"/>
  <c r="J1263" i="28"/>
  <c r="K1263" i="28"/>
  <c r="L1263" i="28"/>
  <c r="M1263" i="28"/>
  <c r="AH36" i="18" s="1"/>
  <c r="N1263" i="28"/>
  <c r="AH39" i="18" s="1"/>
  <c r="O1263" i="28"/>
  <c r="P1263" i="28"/>
  <c r="Q1263" i="28"/>
  <c r="R1263" i="28"/>
  <c r="S1263" i="28"/>
  <c r="T1263" i="28"/>
  <c r="U1263" i="28"/>
  <c r="AH3" i="31" s="1"/>
  <c r="V1263" i="28"/>
  <c r="AH6" i="31" s="1"/>
  <c r="W1263" i="28"/>
  <c r="AH9" i="31" s="1"/>
  <c r="X1263" i="28"/>
  <c r="Y1263" i="28"/>
  <c r="Z1263" i="28"/>
  <c r="AH18" i="31" s="1"/>
  <c r="AA1263" i="28"/>
  <c r="AH21" i="31" s="1"/>
  <c r="AB1263" i="28"/>
  <c r="AC1263" i="28"/>
  <c r="AD1263" i="28"/>
  <c r="AE1263" i="28"/>
  <c r="AF1263" i="28"/>
  <c r="AG1263" i="28"/>
  <c r="AH39" i="31" s="1"/>
  <c r="AH1263" i="28"/>
  <c r="AI1263" i="28"/>
  <c r="AJ1263" i="28"/>
  <c r="AK1263" i="28"/>
  <c r="AL1263" i="28"/>
  <c r="AM1263" i="28"/>
  <c r="AN1263" i="28"/>
  <c r="AO1263" i="28"/>
  <c r="AP1263" i="28"/>
  <c r="AQ1263" i="28"/>
  <c r="AR1263" i="28"/>
  <c r="AS1263" i="28"/>
  <c r="AT1263" i="28"/>
  <c r="AU1263" i="28"/>
  <c r="AV1263" i="28"/>
  <c r="AW1263" i="28"/>
  <c r="B1264" i="28"/>
  <c r="C1264" i="28"/>
  <c r="D1264" i="28"/>
  <c r="E1264" i="28"/>
  <c r="F1264" i="28"/>
  <c r="G1264" i="28"/>
  <c r="H1264" i="28"/>
  <c r="I1264" i="28"/>
  <c r="J1264" i="28"/>
  <c r="K1264" i="28"/>
  <c r="L1264" i="28"/>
  <c r="M1264" i="28"/>
  <c r="N1264" i="28"/>
  <c r="AG39" i="18" s="1"/>
  <c r="O1264" i="28"/>
  <c r="P1264" i="28"/>
  <c r="Q1264" i="28"/>
  <c r="R1264" i="28"/>
  <c r="S1264" i="28"/>
  <c r="T1264" i="28"/>
  <c r="U1264" i="28"/>
  <c r="V1264" i="28"/>
  <c r="AG6" i="31" s="1"/>
  <c r="W1264" i="28"/>
  <c r="AG9" i="31" s="1"/>
  <c r="X1264" i="28"/>
  <c r="Y1264" i="28"/>
  <c r="AG15" i="31" s="1"/>
  <c r="Z1264" i="28"/>
  <c r="AG18" i="31" s="1"/>
  <c r="AA1264" i="28"/>
  <c r="AB1264" i="28"/>
  <c r="AC1264" i="28"/>
  <c r="AG27" i="31" s="1"/>
  <c r="AD1264" i="28"/>
  <c r="AG30" i="31" s="1"/>
  <c r="AE1264" i="28"/>
  <c r="AF1264" i="28"/>
  <c r="AG1264" i="28"/>
  <c r="AH1264" i="28"/>
  <c r="AI1264" i="28"/>
  <c r="AJ1264" i="28"/>
  <c r="AK1264" i="28"/>
  <c r="AL1264" i="28"/>
  <c r="AM1264" i="28"/>
  <c r="AN1264" i="28"/>
  <c r="AO1264" i="28"/>
  <c r="AP1264" i="28"/>
  <c r="AQ1264" i="28"/>
  <c r="AR1264" i="28"/>
  <c r="AS1264" i="28"/>
  <c r="AT1264" i="28"/>
  <c r="AU1264" i="28"/>
  <c r="AV1264" i="28"/>
  <c r="AW1264" i="28"/>
  <c r="B1269" i="28"/>
  <c r="C1269" i="28"/>
  <c r="D1269" i="28"/>
  <c r="E1269" i="28"/>
  <c r="F1269" i="28"/>
  <c r="G1269" i="28"/>
  <c r="H1269" i="28"/>
  <c r="I1269" i="28"/>
  <c r="J1269" i="28"/>
  <c r="K1269" i="28"/>
  <c r="L1269" i="28"/>
  <c r="M1269" i="28"/>
  <c r="AD36" i="18" s="1"/>
  <c r="N1269" i="28"/>
  <c r="AD39" i="18" s="1"/>
  <c r="O1269" i="28"/>
  <c r="P1269" i="28"/>
  <c r="Q1269" i="28"/>
  <c r="R1269" i="28"/>
  <c r="S1269" i="28"/>
  <c r="T1269" i="28"/>
  <c r="U1269" i="28"/>
  <c r="AD3" i="31" s="1"/>
  <c r="V1269" i="28"/>
  <c r="AD6" i="31" s="1"/>
  <c r="W1269" i="28"/>
  <c r="AD9" i="31" s="1"/>
  <c r="X1269" i="28"/>
  <c r="Y1269" i="28"/>
  <c r="Z1269" i="28"/>
  <c r="AD18" i="31" s="1"/>
  <c r="AA1269" i="28"/>
  <c r="AB1269" i="28"/>
  <c r="AC1269" i="28"/>
  <c r="AD1269" i="28"/>
  <c r="AE1269" i="28"/>
  <c r="AD33" i="31" s="1"/>
  <c r="AF1269" i="28"/>
  <c r="AD36" i="31" s="1"/>
  <c r="AG1269" i="28"/>
  <c r="AD39" i="31" s="1"/>
  <c r="AH1269" i="28"/>
  <c r="AI1269" i="28"/>
  <c r="AJ1269" i="28"/>
  <c r="AK1269" i="28"/>
  <c r="AL1269" i="28"/>
  <c r="AM1269" i="28"/>
  <c r="AN1269" i="28"/>
  <c r="AO1269" i="28"/>
  <c r="AP1269" i="28"/>
  <c r="AQ1269" i="28"/>
  <c r="AR1269" i="28"/>
  <c r="AS1269" i="28"/>
  <c r="AT1269" i="28"/>
  <c r="AU1269" i="28"/>
  <c r="AV1269" i="28"/>
  <c r="AW1269" i="28"/>
  <c r="B1270" i="28"/>
  <c r="C1270" i="28"/>
  <c r="D1270" i="28"/>
  <c r="E1270" i="28"/>
  <c r="F1270" i="28"/>
  <c r="G1270" i="28"/>
  <c r="H1270" i="28"/>
  <c r="I1270" i="28"/>
  <c r="J1270" i="28"/>
  <c r="K1270" i="28"/>
  <c r="L1270" i="28"/>
  <c r="M1270" i="28"/>
  <c r="N1270" i="28"/>
  <c r="O1270" i="28"/>
  <c r="P1270" i="28"/>
  <c r="Q1270" i="28"/>
  <c r="R1270" i="28"/>
  <c r="S1270" i="28"/>
  <c r="T1270" i="28"/>
  <c r="U1270" i="28"/>
  <c r="V1270" i="28"/>
  <c r="W1270" i="28"/>
  <c r="X1270" i="28"/>
  <c r="Y1270" i="28"/>
  <c r="Z1270" i="28"/>
  <c r="AA1270" i="28"/>
  <c r="AB1270" i="28"/>
  <c r="AC1270" i="28"/>
  <c r="AD1270" i="28"/>
  <c r="AE1270" i="28"/>
  <c r="AF1270" i="28"/>
  <c r="AG1270" i="28"/>
  <c r="AH1270" i="28"/>
  <c r="AI1270" i="28"/>
  <c r="AJ1270" i="28"/>
  <c r="AK1270" i="28"/>
  <c r="AL1270" i="28"/>
  <c r="AM1270" i="28"/>
  <c r="AN1270" i="28"/>
  <c r="AO1270" i="28"/>
  <c r="AP1270" i="28"/>
  <c r="AQ1270" i="28"/>
  <c r="AR1270" i="28"/>
  <c r="AS1270" i="28"/>
  <c r="AT1270" i="28"/>
  <c r="AU1270" i="28"/>
  <c r="AV1270" i="28"/>
  <c r="AW1270" i="28"/>
  <c r="B1271" i="28"/>
  <c r="C1271" i="28"/>
  <c r="D1271" i="28"/>
  <c r="E1271" i="28"/>
  <c r="F1271" i="28"/>
  <c r="G1271" i="28"/>
  <c r="H1271" i="28"/>
  <c r="I1271" i="28"/>
  <c r="J1271" i="28"/>
  <c r="K1271" i="28"/>
  <c r="L1271" i="28"/>
  <c r="M1271" i="28"/>
  <c r="N1271" i="28"/>
  <c r="O1271" i="28"/>
  <c r="P1271" i="28"/>
  <c r="Q1271" i="28"/>
  <c r="R1271" i="28"/>
  <c r="S1271" i="28"/>
  <c r="T1271" i="28"/>
  <c r="U1271" i="28"/>
  <c r="V1271" i="28"/>
  <c r="W1271" i="28"/>
  <c r="X1271" i="28"/>
  <c r="Y1271" i="28"/>
  <c r="Z1271" i="28"/>
  <c r="AA1271" i="28"/>
  <c r="AB1271" i="28"/>
  <c r="AC1271" i="28"/>
  <c r="AD1271" i="28"/>
  <c r="AE1271" i="28"/>
  <c r="AF1271" i="28"/>
  <c r="AG1271" i="28"/>
  <c r="AH1271" i="28"/>
  <c r="AI1271" i="28"/>
  <c r="AJ1271" i="28"/>
  <c r="AK1271" i="28"/>
  <c r="AL1271" i="28"/>
  <c r="AM1271" i="28"/>
  <c r="AN1271" i="28"/>
  <c r="AO1271" i="28"/>
  <c r="AP1271" i="28"/>
  <c r="AQ1271" i="28"/>
  <c r="AR1271" i="28"/>
  <c r="AS1271" i="28"/>
  <c r="AT1271" i="28"/>
  <c r="AU1271" i="28"/>
  <c r="AV1271" i="28"/>
  <c r="AW1271" i="28"/>
  <c r="B1272" i="28"/>
  <c r="C1272" i="28"/>
  <c r="D1272" i="28"/>
  <c r="E1272" i="28"/>
  <c r="F1272" i="28"/>
  <c r="G1272" i="28"/>
  <c r="H1272" i="28"/>
  <c r="I1272" i="28"/>
  <c r="J1272" i="28"/>
  <c r="K1272" i="28"/>
  <c r="L1272" i="28"/>
  <c r="M1272" i="28"/>
  <c r="N1272" i="28"/>
  <c r="O1272" i="28"/>
  <c r="P1272" i="28"/>
  <c r="Q1272" i="28"/>
  <c r="R1272" i="28"/>
  <c r="S1272" i="28"/>
  <c r="T1272" i="28"/>
  <c r="U1272" i="28"/>
  <c r="V1272" i="28"/>
  <c r="W1272" i="28"/>
  <c r="X1272" i="28"/>
  <c r="Y1272" i="28"/>
  <c r="Z1272" i="28"/>
  <c r="AA1272" i="28"/>
  <c r="AB1272" i="28"/>
  <c r="AC1272" i="28"/>
  <c r="AD1272" i="28"/>
  <c r="AE1272" i="28"/>
  <c r="AF1272" i="28"/>
  <c r="AG1272" i="28"/>
  <c r="AH1272" i="28"/>
  <c r="AI1272" i="28"/>
  <c r="AJ1272" i="28"/>
  <c r="AK1272" i="28"/>
  <c r="AL1272" i="28"/>
  <c r="AM1272" i="28"/>
  <c r="AN1272" i="28"/>
  <c r="AO1272" i="28"/>
  <c r="AP1272" i="28"/>
  <c r="AQ1272" i="28"/>
  <c r="AR1272" i="28"/>
  <c r="AS1272" i="28"/>
  <c r="AT1272" i="28"/>
  <c r="AU1272" i="28"/>
  <c r="AV1272" i="28"/>
  <c r="AW1272" i="28"/>
  <c r="B1273" i="28"/>
  <c r="C1273" i="28"/>
  <c r="D1273" i="28"/>
  <c r="E1273" i="28"/>
  <c r="F1273" i="28"/>
  <c r="G1273" i="28"/>
  <c r="H1273" i="28"/>
  <c r="I1273" i="28"/>
  <c r="J1273" i="28"/>
  <c r="K1273" i="28"/>
  <c r="L1273" i="28"/>
  <c r="M1273" i="28"/>
  <c r="N1273" i="28"/>
  <c r="O1273" i="28"/>
  <c r="P1273" i="28"/>
  <c r="Q1273" i="28"/>
  <c r="R1273" i="28"/>
  <c r="S1273" i="28"/>
  <c r="T1273" i="28"/>
  <c r="U1273" i="28"/>
  <c r="V1273" i="28"/>
  <c r="W1273" i="28"/>
  <c r="X1273" i="28"/>
  <c r="Y1273" i="28"/>
  <c r="Z1273" i="28"/>
  <c r="AA1273" i="28"/>
  <c r="AB1273" i="28"/>
  <c r="AC1273" i="28"/>
  <c r="AD1273" i="28"/>
  <c r="AE1273" i="28"/>
  <c r="AF1273" i="28"/>
  <c r="AG1273" i="28"/>
  <c r="AH1273" i="28"/>
  <c r="AI1273" i="28"/>
  <c r="AJ1273" i="28"/>
  <c r="AK1273" i="28"/>
  <c r="AL1273" i="28"/>
  <c r="AM1273" i="28"/>
  <c r="AN1273" i="28"/>
  <c r="AO1273" i="28"/>
  <c r="AP1273" i="28"/>
  <c r="AQ1273" i="28"/>
  <c r="AR1273" i="28"/>
  <c r="AS1273" i="28"/>
  <c r="AT1273" i="28"/>
  <c r="AU1273" i="28"/>
  <c r="AV1273" i="28"/>
  <c r="AW1273" i="28"/>
  <c r="B1274" i="28"/>
  <c r="C1274" i="28"/>
  <c r="D1274" i="28"/>
  <c r="E1274" i="28"/>
  <c r="F1274" i="28"/>
  <c r="G1274" i="28"/>
  <c r="H1274" i="28"/>
  <c r="I1274" i="28"/>
  <c r="J1274" i="28"/>
  <c r="K1274" i="28"/>
  <c r="L1274" i="28"/>
  <c r="M1274" i="28"/>
  <c r="N1274" i="28"/>
  <c r="O1274" i="28"/>
  <c r="P1274" i="28"/>
  <c r="Q1274" i="28"/>
  <c r="R1274" i="28"/>
  <c r="S1274" i="28"/>
  <c r="T1274" i="28"/>
  <c r="U1274" i="28"/>
  <c r="V1274" i="28"/>
  <c r="W1274" i="28"/>
  <c r="X1274" i="28"/>
  <c r="Y1274" i="28"/>
  <c r="Z1274" i="28"/>
  <c r="AA1274" i="28"/>
  <c r="AB1274" i="28"/>
  <c r="AC1274" i="28"/>
  <c r="AD1274" i="28"/>
  <c r="AE1274" i="28"/>
  <c r="AF1274" i="28"/>
  <c r="AG1274" i="28"/>
  <c r="AH1274" i="28"/>
  <c r="AI1274" i="28"/>
  <c r="AJ1274" i="28"/>
  <c r="AK1274" i="28"/>
  <c r="AL1274" i="28"/>
  <c r="AM1274" i="28"/>
  <c r="AN1274" i="28"/>
  <c r="AO1274" i="28"/>
  <c r="AP1274" i="28"/>
  <c r="AQ1274" i="28"/>
  <c r="AR1274" i="28"/>
  <c r="AS1274" i="28"/>
  <c r="AT1274" i="28"/>
  <c r="AU1274" i="28"/>
  <c r="AV1274" i="28"/>
  <c r="AW1274" i="28"/>
  <c r="B1275" i="28"/>
  <c r="C1275" i="28"/>
  <c r="D1275" i="28"/>
  <c r="E1275" i="28"/>
  <c r="F1275" i="28"/>
  <c r="G1275" i="28"/>
  <c r="H1275" i="28"/>
  <c r="I1275" i="28"/>
  <c r="J1275" i="28"/>
  <c r="K1275" i="28"/>
  <c r="L1275" i="28"/>
  <c r="M1275" i="28"/>
  <c r="N1275" i="28"/>
  <c r="O1275" i="28"/>
  <c r="P1275" i="28"/>
  <c r="Q1275" i="28"/>
  <c r="R1275" i="28"/>
  <c r="S1275" i="28"/>
  <c r="T1275" i="28"/>
  <c r="U1275" i="28"/>
  <c r="V1275" i="28"/>
  <c r="W1275" i="28"/>
  <c r="X1275" i="28"/>
  <c r="Y1275" i="28"/>
  <c r="Z1275" i="28"/>
  <c r="AA1275" i="28"/>
  <c r="AB1275" i="28"/>
  <c r="AC1275" i="28"/>
  <c r="AD1275" i="28"/>
  <c r="AE1275" i="28"/>
  <c r="AF1275" i="28"/>
  <c r="AG1275" i="28"/>
  <c r="AH1275" i="28"/>
  <c r="AI1275" i="28"/>
  <c r="AJ1275" i="28"/>
  <c r="AK1275" i="28"/>
  <c r="AL1275" i="28"/>
  <c r="AM1275" i="28"/>
  <c r="AN1275" i="28"/>
  <c r="AO1275" i="28"/>
  <c r="AP1275" i="28"/>
  <c r="AQ1275" i="28"/>
  <c r="AR1275" i="28"/>
  <c r="AS1275" i="28"/>
  <c r="AT1275" i="28"/>
  <c r="AU1275" i="28"/>
  <c r="AV1275" i="28"/>
  <c r="AW1275" i="28"/>
  <c r="B1276" i="28"/>
  <c r="C1276" i="28"/>
  <c r="D1276" i="28"/>
  <c r="E1276" i="28"/>
  <c r="F1276" i="28"/>
  <c r="G1276" i="28"/>
  <c r="H1276" i="28"/>
  <c r="I1276" i="28"/>
  <c r="J1276" i="28"/>
  <c r="K1276" i="28"/>
  <c r="L1276" i="28"/>
  <c r="M1276" i="28"/>
  <c r="N1276" i="28"/>
  <c r="O1276" i="28"/>
  <c r="P1276" i="28"/>
  <c r="Q1276" i="28"/>
  <c r="R1276" i="28"/>
  <c r="S1276" i="28"/>
  <c r="T1276" i="28"/>
  <c r="U1276" i="28"/>
  <c r="V1276" i="28"/>
  <c r="W1276" i="28"/>
  <c r="X1276" i="28"/>
  <c r="Y1276" i="28"/>
  <c r="Z1276" i="28"/>
  <c r="AA1276" i="28"/>
  <c r="AB1276" i="28"/>
  <c r="AC1276" i="28"/>
  <c r="AD1276" i="28"/>
  <c r="AE1276" i="28"/>
  <c r="AF1276" i="28"/>
  <c r="AG1276" i="28"/>
  <c r="AH1276" i="28"/>
  <c r="AI1276" i="28"/>
  <c r="AJ1276" i="28"/>
  <c r="AK1276" i="28"/>
  <c r="AL1276" i="28"/>
  <c r="AM1276" i="28"/>
  <c r="AN1276" i="28"/>
  <c r="AO1276" i="28"/>
  <c r="AP1276" i="28"/>
  <c r="AQ1276" i="28"/>
  <c r="AR1276" i="28"/>
  <c r="AS1276" i="28"/>
  <c r="AT1276" i="28"/>
  <c r="AU1276" i="28"/>
  <c r="AV1276" i="28"/>
  <c r="AW1276" i="28"/>
  <c r="B1277" i="28"/>
  <c r="C1277" i="28"/>
  <c r="D1277" i="28"/>
  <c r="E1277" i="28"/>
  <c r="F1277" i="28"/>
  <c r="G1277" i="28"/>
  <c r="H1277" i="28"/>
  <c r="I1277" i="28"/>
  <c r="J1277" i="28"/>
  <c r="K1277" i="28"/>
  <c r="L1277" i="28"/>
  <c r="M1277" i="28"/>
  <c r="N1277" i="28"/>
  <c r="O1277" i="28"/>
  <c r="P1277" i="28"/>
  <c r="Q1277" i="28"/>
  <c r="R1277" i="28"/>
  <c r="S1277" i="28"/>
  <c r="T1277" i="28"/>
  <c r="U1277" i="28"/>
  <c r="V1277" i="28"/>
  <c r="W1277" i="28"/>
  <c r="X1277" i="28"/>
  <c r="Y1277" i="28"/>
  <c r="Z1277" i="28"/>
  <c r="AA1277" i="28"/>
  <c r="AB1277" i="28"/>
  <c r="AC1277" i="28"/>
  <c r="AD1277" i="28"/>
  <c r="AE1277" i="28"/>
  <c r="AF1277" i="28"/>
  <c r="AG1277" i="28"/>
  <c r="AH1277" i="28"/>
  <c r="AI1277" i="28"/>
  <c r="AJ1277" i="28"/>
  <c r="AK1277" i="28"/>
  <c r="AL1277" i="28"/>
  <c r="AM1277" i="28"/>
  <c r="AN1277" i="28"/>
  <c r="AO1277" i="28"/>
  <c r="AP1277" i="28"/>
  <c r="AQ1277" i="28"/>
  <c r="AR1277" i="28"/>
  <c r="AS1277" i="28"/>
  <c r="AT1277" i="28"/>
  <c r="AU1277" i="28"/>
  <c r="AV1277" i="28"/>
  <c r="AW1277" i="28"/>
  <c r="B1278" i="28"/>
  <c r="C1278" i="28"/>
  <c r="D1278" i="28"/>
  <c r="E1278" i="28"/>
  <c r="F1278" i="28"/>
  <c r="G1278" i="28"/>
  <c r="H1278" i="28"/>
  <c r="I1278" i="28"/>
  <c r="J1278" i="28"/>
  <c r="K1278" i="28"/>
  <c r="L1278" i="28"/>
  <c r="M1278" i="28"/>
  <c r="N1278" i="28"/>
  <c r="O1278" i="28"/>
  <c r="P1278" i="28"/>
  <c r="Q1278" i="28"/>
  <c r="R1278" i="28"/>
  <c r="S1278" i="28"/>
  <c r="T1278" i="28"/>
  <c r="U1278" i="28"/>
  <c r="V1278" i="28"/>
  <c r="W1278" i="28"/>
  <c r="X1278" i="28"/>
  <c r="Y1278" i="28"/>
  <c r="Z1278" i="28"/>
  <c r="AA1278" i="28"/>
  <c r="AB1278" i="28"/>
  <c r="AC1278" i="28"/>
  <c r="AD1278" i="28"/>
  <c r="AE1278" i="28"/>
  <c r="AF1278" i="28"/>
  <c r="AG1278" i="28"/>
  <c r="AH1278" i="28"/>
  <c r="AI1278" i="28"/>
  <c r="AJ1278" i="28"/>
  <c r="AK1278" i="28"/>
  <c r="AL1278" i="28"/>
  <c r="AM1278" i="28"/>
  <c r="AN1278" i="28"/>
  <c r="AO1278" i="28"/>
  <c r="AP1278" i="28"/>
  <c r="AQ1278" i="28"/>
  <c r="AR1278" i="28"/>
  <c r="AS1278" i="28"/>
  <c r="AT1278" i="28"/>
  <c r="AU1278" i="28"/>
  <c r="AV1278" i="28"/>
  <c r="AW1278" i="28"/>
  <c r="B1281" i="28"/>
  <c r="C1281" i="28"/>
  <c r="D1281" i="28"/>
  <c r="E1281" i="28"/>
  <c r="F1281" i="28"/>
  <c r="G1281" i="28"/>
  <c r="H1281" i="28"/>
  <c r="I1281" i="28"/>
  <c r="J1281" i="28"/>
  <c r="K1281" i="28"/>
  <c r="L1281" i="28"/>
  <c r="M1281" i="28"/>
  <c r="AE36" i="18" s="1"/>
  <c r="N1281" i="28"/>
  <c r="AE39" i="18" s="1"/>
  <c r="O1281" i="28"/>
  <c r="P1281" i="28"/>
  <c r="Q1281" i="28"/>
  <c r="R1281" i="28"/>
  <c r="S1281" i="28"/>
  <c r="T1281" i="28"/>
  <c r="U1281" i="28"/>
  <c r="V1281" i="28"/>
  <c r="W1281" i="28"/>
  <c r="AE9" i="31" s="1"/>
  <c r="X1281" i="28"/>
  <c r="Y1281" i="28"/>
  <c r="AE15" i="31" s="1"/>
  <c r="Z1281" i="28"/>
  <c r="AA1281" i="28"/>
  <c r="AB1281" i="28"/>
  <c r="AC1281" i="28"/>
  <c r="AE27" i="31" s="1"/>
  <c r="AD1281" i="28"/>
  <c r="AE30" i="31" s="1"/>
  <c r="AE1281" i="28"/>
  <c r="AE33" i="31" s="1"/>
  <c r="AF1281" i="28"/>
  <c r="AG1281" i="28"/>
  <c r="AH1281" i="28"/>
  <c r="AI1281" i="28"/>
  <c r="AJ1281" i="28"/>
  <c r="AK1281" i="28"/>
  <c r="AL1281" i="28"/>
  <c r="AM1281" i="28"/>
  <c r="AN1281" i="28"/>
  <c r="AO1281" i="28"/>
  <c r="AP1281" i="28"/>
  <c r="AQ1281" i="28"/>
  <c r="AR1281" i="28"/>
  <c r="AS1281" i="28"/>
  <c r="AT1281" i="28"/>
  <c r="AU1281" i="28"/>
  <c r="AV1281" i="28"/>
  <c r="AW1281" i="28"/>
  <c r="B1338" i="28"/>
  <c r="C1338" i="28"/>
  <c r="D1338" i="28"/>
  <c r="E1338" i="28"/>
  <c r="F1338" i="28"/>
  <c r="G1338" i="28"/>
  <c r="H1338" i="28"/>
  <c r="I1338" i="28"/>
  <c r="B1341" i="28"/>
  <c r="C1341" i="28"/>
  <c r="D1341" i="28"/>
  <c r="E1341" i="28"/>
  <c r="F1341" i="28"/>
  <c r="G1341" i="28"/>
  <c r="H1341" i="28"/>
  <c r="I1341" i="28"/>
  <c r="B1342" i="28"/>
  <c r="C1342" i="28"/>
  <c r="D1342" i="28"/>
  <c r="E1342" i="28"/>
  <c r="F1342" i="28"/>
  <c r="G1342" i="28"/>
  <c r="H1342" i="28"/>
  <c r="I1342" i="28"/>
  <c r="B1343" i="28"/>
  <c r="C1343" i="28"/>
  <c r="D1343" i="28"/>
  <c r="E1343" i="28"/>
  <c r="F1343" i="28"/>
  <c r="G1343" i="28"/>
  <c r="H1343" i="28"/>
  <c r="I1343" i="28"/>
  <c r="B1344" i="28"/>
  <c r="C1344" i="28"/>
  <c r="D1344" i="28"/>
  <c r="E1344" i="28"/>
  <c r="F1344" i="28"/>
  <c r="G1344" i="28"/>
  <c r="H1344" i="28"/>
  <c r="I1344" i="28"/>
  <c r="B1345" i="28"/>
  <c r="C1345" i="28"/>
  <c r="D1345" i="28"/>
  <c r="E1345" i="28"/>
  <c r="F1345" i="28"/>
  <c r="G1345" i="28"/>
  <c r="H1345" i="28"/>
  <c r="I1345" i="28"/>
  <c r="B1346" i="28"/>
  <c r="C1346" i="28"/>
  <c r="D1346" i="28"/>
  <c r="E1346" i="28"/>
  <c r="F1346" i="28"/>
  <c r="G1346" i="28"/>
  <c r="H1346" i="28"/>
  <c r="I1346" i="28"/>
  <c r="B1347" i="28"/>
  <c r="C1347" i="28"/>
  <c r="D1347" i="28"/>
  <c r="E1347" i="28"/>
  <c r="F1347" i="28"/>
  <c r="G1347" i="28"/>
  <c r="H1347" i="28"/>
  <c r="I1347" i="28"/>
  <c r="B1348" i="28"/>
  <c r="C1348" i="28"/>
  <c r="D1348" i="28"/>
  <c r="E1348" i="28"/>
  <c r="F1348" i="28"/>
  <c r="G1348" i="28"/>
  <c r="H1348" i="28"/>
  <c r="I1348" i="28"/>
  <c r="B1349" i="28"/>
  <c r="C1349" i="28"/>
  <c r="D1349" i="28"/>
  <c r="E1349" i="28"/>
  <c r="F1349" i="28"/>
  <c r="G1349" i="28"/>
  <c r="H1349" i="28"/>
  <c r="I1349" i="28"/>
  <c r="B1350" i="28"/>
  <c r="C1350" i="28"/>
  <c r="D1350" i="28"/>
  <c r="E1350" i="28"/>
  <c r="F1350" i="28"/>
  <c r="G1350" i="28"/>
  <c r="H1350" i="28"/>
  <c r="I1350" i="28"/>
  <c r="B1351" i="28"/>
  <c r="C1351" i="28"/>
  <c r="D1351" i="28"/>
  <c r="E1351" i="28"/>
  <c r="F1351" i="28"/>
  <c r="G1351" i="28"/>
  <c r="H1351" i="28"/>
  <c r="I1351" i="28"/>
  <c r="B1352" i="28"/>
  <c r="C1352" i="28"/>
  <c r="D1352" i="28"/>
  <c r="E1352" i="28"/>
  <c r="F1352" i="28"/>
  <c r="G1352" i="28"/>
  <c r="H1352" i="28"/>
  <c r="I1352" i="28"/>
  <c r="B1357" i="28"/>
  <c r="C1357" i="28"/>
  <c r="D1357" i="28"/>
  <c r="E1357" i="28"/>
  <c r="F1357" i="28"/>
  <c r="G1357" i="28"/>
  <c r="H1357" i="28"/>
  <c r="I1357" i="28"/>
  <c r="B1360" i="28"/>
  <c r="C1360" i="28"/>
  <c r="D1360" i="28"/>
  <c r="E1360" i="28"/>
  <c r="F1360" i="28"/>
  <c r="G1360" i="28"/>
  <c r="H1360" i="28"/>
  <c r="I1360" i="28"/>
  <c r="B1361" i="28"/>
  <c r="C1361" i="28"/>
  <c r="D1361" i="28"/>
  <c r="E1361" i="28"/>
  <c r="F1361" i="28"/>
  <c r="G1361" i="28"/>
  <c r="H1361" i="28"/>
  <c r="I1361" i="28"/>
  <c r="B1362" i="28"/>
  <c r="C1362" i="28"/>
  <c r="D1362" i="28"/>
  <c r="E1362" i="28"/>
  <c r="F1362" i="28"/>
  <c r="G1362" i="28"/>
  <c r="H1362" i="28"/>
  <c r="I1362" i="28"/>
  <c r="B1363" i="28"/>
  <c r="C1363" i="28"/>
  <c r="D1363" i="28"/>
  <c r="E1363" i="28"/>
  <c r="F1363" i="28"/>
  <c r="G1363" i="28"/>
  <c r="H1363" i="28"/>
  <c r="I1363" i="28"/>
  <c r="B1364" i="28"/>
  <c r="C1364" i="28"/>
  <c r="D1364" i="28"/>
  <c r="E1364" i="28"/>
  <c r="F1364" i="28"/>
  <c r="G1364" i="28"/>
  <c r="H1364" i="28"/>
  <c r="I1364" i="28"/>
  <c r="B1365" i="28"/>
  <c r="C1365" i="28"/>
  <c r="D1365" i="28"/>
  <c r="E1365" i="28"/>
  <c r="F1365" i="28"/>
  <c r="G1365" i="28"/>
  <c r="H1365" i="28"/>
  <c r="I1365" i="28"/>
  <c r="B1366" i="28"/>
  <c r="C1366" i="28"/>
  <c r="D1366" i="28"/>
  <c r="E1366" i="28"/>
  <c r="F1366" i="28"/>
  <c r="G1366" i="28"/>
  <c r="H1366" i="28"/>
  <c r="I1366" i="28"/>
  <c r="B1367" i="28"/>
  <c r="C1367" i="28"/>
  <c r="D1367" i="28"/>
  <c r="E1367" i="28"/>
  <c r="F1367" i="28"/>
  <c r="G1367" i="28"/>
  <c r="H1367" i="28"/>
  <c r="I1367" i="28"/>
  <c r="B1368" i="28"/>
  <c r="C1368" i="28"/>
  <c r="D1368" i="28"/>
  <c r="E1368" i="28"/>
  <c r="F1368" i="28"/>
  <c r="G1368" i="28"/>
  <c r="H1368" i="28"/>
  <c r="I1368" i="28"/>
  <c r="B1369" i="28"/>
  <c r="C1369" i="28"/>
  <c r="D1369" i="28"/>
  <c r="E1369" i="28"/>
  <c r="F1369" i="28"/>
  <c r="G1369" i="28"/>
  <c r="H1369" i="28"/>
  <c r="I1369" i="28"/>
  <c r="B1370" i="28"/>
  <c r="C1370" i="28"/>
  <c r="D1370" i="28"/>
  <c r="E1370" i="28"/>
  <c r="F1370" i="28"/>
  <c r="G1370" i="28"/>
  <c r="H1370" i="28"/>
  <c r="I1370" i="28"/>
  <c r="B1371" i="28"/>
  <c r="C1371" i="28"/>
  <c r="D1371" i="28"/>
  <c r="E1371" i="28"/>
  <c r="F1371" i="28"/>
  <c r="G1371" i="28"/>
  <c r="H1371" i="28"/>
  <c r="I1371" i="28"/>
  <c r="B1376" i="28"/>
  <c r="C1376" i="28"/>
  <c r="D1376" i="28"/>
  <c r="E1376" i="28"/>
  <c r="F1376" i="28"/>
  <c r="G1376" i="28"/>
  <c r="H1376" i="28"/>
  <c r="I1376" i="28"/>
  <c r="B1379" i="28"/>
  <c r="C1379" i="28"/>
  <c r="D1379" i="28"/>
  <c r="E1379" i="28"/>
  <c r="F1379" i="28"/>
  <c r="G1379" i="28"/>
  <c r="H1379" i="28"/>
  <c r="I1379" i="28"/>
  <c r="B1380" i="28"/>
  <c r="C1380" i="28"/>
  <c r="D1380" i="28"/>
  <c r="E1380" i="28"/>
  <c r="F1380" i="28"/>
  <c r="G1380" i="28"/>
  <c r="H1380" i="28"/>
  <c r="I1380" i="28"/>
  <c r="B1381" i="28"/>
  <c r="C1381" i="28"/>
  <c r="D1381" i="28"/>
  <c r="E1381" i="28"/>
  <c r="F1381" i="28"/>
  <c r="G1381" i="28"/>
  <c r="H1381" i="28"/>
  <c r="I1381" i="28"/>
  <c r="B1382" i="28"/>
  <c r="C1382" i="28"/>
  <c r="D1382" i="28"/>
  <c r="E1382" i="28"/>
  <c r="F1382" i="28"/>
  <c r="G1382" i="28"/>
  <c r="H1382" i="28"/>
  <c r="I1382" i="28"/>
  <c r="B1383" i="28"/>
  <c r="C1383" i="28"/>
  <c r="D1383" i="28"/>
  <c r="E1383" i="28"/>
  <c r="F1383" i="28"/>
  <c r="G1383" i="28"/>
  <c r="H1383" i="28"/>
  <c r="I1383" i="28"/>
  <c r="B1384" i="28"/>
  <c r="C1384" i="28"/>
  <c r="D1384" i="28"/>
  <c r="E1384" i="28"/>
  <c r="F1384" i="28"/>
  <c r="G1384" i="28"/>
  <c r="H1384" i="28"/>
  <c r="I1384" i="28"/>
  <c r="B1385" i="28"/>
  <c r="C1385" i="28"/>
  <c r="D1385" i="28"/>
  <c r="E1385" i="28"/>
  <c r="F1385" i="28"/>
  <c r="G1385" i="28"/>
  <c r="H1385" i="28"/>
  <c r="I1385" i="28"/>
  <c r="B1386" i="28"/>
  <c r="C1386" i="28"/>
  <c r="D1386" i="28"/>
  <c r="E1386" i="28"/>
  <c r="F1386" i="28"/>
  <c r="G1386" i="28"/>
  <c r="H1386" i="28"/>
  <c r="I1386" i="28"/>
  <c r="B1387" i="28"/>
  <c r="C1387" i="28"/>
  <c r="D1387" i="28"/>
  <c r="E1387" i="28"/>
  <c r="F1387" i="28"/>
  <c r="G1387" i="28"/>
  <c r="H1387" i="28"/>
  <c r="I1387" i="28"/>
  <c r="B1388" i="28"/>
  <c r="C1388" i="28"/>
  <c r="D1388" i="28"/>
  <c r="E1388" i="28"/>
  <c r="F1388" i="28"/>
  <c r="G1388" i="28"/>
  <c r="H1388" i="28"/>
  <c r="I1388" i="28"/>
  <c r="B1389" i="28"/>
  <c r="C1389" i="28"/>
  <c r="D1389" i="28"/>
  <c r="E1389" i="28"/>
  <c r="F1389" i="28"/>
  <c r="G1389" i="28"/>
  <c r="H1389" i="28"/>
  <c r="I1389" i="28"/>
  <c r="B1390" i="28"/>
  <c r="C1390" i="28"/>
  <c r="D1390" i="28"/>
  <c r="E1390" i="28"/>
  <c r="F1390" i="28"/>
  <c r="G1390" i="28"/>
  <c r="H1390" i="28"/>
  <c r="I1390" i="28"/>
  <c r="B1395" i="28"/>
  <c r="C1395" i="28"/>
  <c r="D1395" i="28"/>
  <c r="E1395" i="28"/>
  <c r="F1395" i="28"/>
  <c r="G1395" i="28"/>
  <c r="H1395" i="28"/>
  <c r="I1395" i="28"/>
  <c r="B1398" i="28"/>
  <c r="C1398" i="28"/>
  <c r="D1398" i="28"/>
  <c r="E1398" i="28"/>
  <c r="F1398" i="28"/>
  <c r="G1398" i="28"/>
  <c r="H1398" i="28"/>
  <c r="I1398" i="28"/>
  <c r="B1399" i="28"/>
  <c r="C1399" i="28"/>
  <c r="D1399" i="28"/>
  <c r="E1399" i="28"/>
  <c r="F1399" i="28"/>
  <c r="G1399" i="28"/>
  <c r="H1399" i="28"/>
  <c r="I1399" i="28"/>
  <c r="B1400" i="28"/>
  <c r="C1400" i="28"/>
  <c r="D1400" i="28"/>
  <c r="E1400" i="28"/>
  <c r="F1400" i="28"/>
  <c r="G1400" i="28"/>
  <c r="H1400" i="28"/>
  <c r="I1400" i="28"/>
  <c r="B1401" i="28"/>
  <c r="C1401" i="28"/>
  <c r="D1401" i="28"/>
  <c r="E1401" i="28"/>
  <c r="F1401" i="28"/>
  <c r="G1401" i="28"/>
  <c r="H1401" i="28"/>
  <c r="I1401" i="28"/>
  <c r="B1402" i="28"/>
  <c r="C1402" i="28"/>
  <c r="D1402" i="28"/>
  <c r="E1402" i="28"/>
  <c r="F1402" i="28"/>
  <c r="G1402" i="28"/>
  <c r="H1402" i="28"/>
  <c r="I1402" i="28"/>
  <c r="B1403" i="28"/>
  <c r="C1403" i="28"/>
  <c r="D1403" i="28"/>
  <c r="E1403" i="28"/>
  <c r="F1403" i="28"/>
  <c r="G1403" i="28"/>
  <c r="H1403" i="28"/>
  <c r="I1403" i="28"/>
  <c r="B1404" i="28"/>
  <c r="C1404" i="28"/>
  <c r="D1404" i="28"/>
  <c r="E1404" i="28"/>
  <c r="F1404" i="28"/>
  <c r="G1404" i="28"/>
  <c r="H1404" i="28"/>
  <c r="I1404" i="28"/>
  <c r="B1405" i="28"/>
  <c r="C1405" i="28"/>
  <c r="D1405" i="28"/>
  <c r="E1405" i="28"/>
  <c r="F1405" i="28"/>
  <c r="G1405" i="28"/>
  <c r="H1405" i="28"/>
  <c r="I1405" i="28"/>
  <c r="B1406" i="28"/>
  <c r="C1406" i="28"/>
  <c r="D1406" i="28"/>
  <c r="E1406" i="28"/>
  <c r="F1406" i="28"/>
  <c r="G1406" i="28"/>
  <c r="H1406" i="28"/>
  <c r="I1406" i="28"/>
  <c r="B1407" i="28"/>
  <c r="C1407" i="28"/>
  <c r="D1407" i="28"/>
  <c r="E1407" i="28"/>
  <c r="F1407" i="28"/>
  <c r="G1407" i="28"/>
  <c r="H1407" i="28"/>
  <c r="I1407" i="28"/>
  <c r="B1408" i="28"/>
  <c r="C1408" i="28"/>
  <c r="D1408" i="28"/>
  <c r="E1408" i="28"/>
  <c r="F1408" i="28"/>
  <c r="G1408" i="28"/>
  <c r="H1408" i="28"/>
  <c r="I1408" i="28"/>
  <c r="B1409" i="28"/>
  <c r="C1409" i="28"/>
  <c r="D1409" i="28"/>
  <c r="E1409" i="28"/>
  <c r="F1409" i="28"/>
  <c r="G1409" i="28"/>
  <c r="H1409" i="28"/>
  <c r="I1409" i="28"/>
  <c r="B1414" i="28"/>
  <c r="C1414" i="28"/>
  <c r="D1414" i="28"/>
  <c r="E1414" i="28"/>
  <c r="F1414" i="28"/>
  <c r="G1414" i="28"/>
  <c r="H1414" i="28"/>
  <c r="I1414" i="28"/>
  <c r="B1417" i="28"/>
  <c r="C1417" i="28"/>
  <c r="D1417" i="28"/>
  <c r="E1417" i="28"/>
  <c r="F1417" i="28"/>
  <c r="G1417" i="28"/>
  <c r="H1417" i="28"/>
  <c r="I1417" i="28"/>
  <c r="B1418" i="28"/>
  <c r="C1418" i="28"/>
  <c r="D1418" i="28"/>
  <c r="E1418" i="28"/>
  <c r="F1418" i="28"/>
  <c r="G1418" i="28"/>
  <c r="H1418" i="28"/>
  <c r="I1418" i="28"/>
  <c r="B1419" i="28"/>
  <c r="C1419" i="28"/>
  <c r="D1419" i="28"/>
  <c r="E1419" i="28"/>
  <c r="F1419" i="28"/>
  <c r="G1419" i="28"/>
  <c r="H1419" i="28"/>
  <c r="I1419" i="28"/>
  <c r="B1420" i="28"/>
  <c r="C1420" i="28"/>
  <c r="D1420" i="28"/>
  <c r="E1420" i="28"/>
  <c r="F1420" i="28"/>
  <c r="G1420" i="28"/>
  <c r="H1420" i="28"/>
  <c r="I1420" i="28"/>
  <c r="B1421" i="28"/>
  <c r="C1421" i="28"/>
  <c r="D1421" i="28"/>
  <c r="E1421" i="28"/>
  <c r="F1421" i="28"/>
  <c r="G1421" i="28"/>
  <c r="H1421" i="28"/>
  <c r="I1421" i="28"/>
  <c r="B1422" i="28"/>
  <c r="C1422" i="28"/>
  <c r="D1422" i="28"/>
  <c r="E1422" i="28"/>
  <c r="F1422" i="28"/>
  <c r="G1422" i="28"/>
  <c r="H1422" i="28"/>
  <c r="I1422" i="28"/>
  <c r="B1423" i="28"/>
  <c r="C1423" i="28"/>
  <c r="D1423" i="28"/>
  <c r="E1423" i="28"/>
  <c r="F1423" i="28"/>
  <c r="G1423" i="28"/>
  <c r="H1423" i="28"/>
  <c r="I1423" i="28"/>
  <c r="B1424" i="28"/>
  <c r="C1424" i="28"/>
  <c r="D1424" i="28"/>
  <c r="E1424" i="28"/>
  <c r="F1424" i="28"/>
  <c r="G1424" i="28"/>
  <c r="H1424" i="28"/>
  <c r="I1424" i="28"/>
  <c r="B1425" i="28"/>
  <c r="C1425" i="28"/>
  <c r="D1425" i="28"/>
  <c r="E1425" i="28"/>
  <c r="F1425" i="28"/>
  <c r="G1425" i="28"/>
  <c r="H1425" i="28"/>
  <c r="I1425" i="28"/>
  <c r="B1426" i="28"/>
  <c r="C1426" i="28"/>
  <c r="D1426" i="28"/>
  <c r="E1426" i="28"/>
  <c r="F1426" i="28"/>
  <c r="G1426" i="28"/>
  <c r="H1426" i="28"/>
  <c r="I1426" i="28"/>
  <c r="B1427" i="28"/>
  <c r="C1427" i="28"/>
  <c r="D1427" i="28"/>
  <c r="E1427" i="28"/>
  <c r="F1427" i="28"/>
  <c r="G1427" i="28"/>
  <c r="H1427" i="28"/>
  <c r="I1427" i="28"/>
  <c r="B1428" i="28"/>
  <c r="C1428" i="28"/>
  <c r="D1428" i="28"/>
  <c r="E1428" i="28"/>
  <c r="F1428" i="28"/>
  <c r="G1428" i="28"/>
  <c r="H1428" i="28"/>
  <c r="I1428" i="28"/>
  <c r="B1433" i="28"/>
  <c r="C1433" i="28"/>
  <c r="D1433" i="28"/>
  <c r="E1433" i="28"/>
  <c r="F1433" i="28"/>
  <c r="G1433" i="28"/>
  <c r="H1433" i="28"/>
  <c r="I1433" i="28"/>
  <c r="B1436" i="28"/>
  <c r="C1436" i="28"/>
  <c r="D1436" i="28"/>
  <c r="E1436" i="28"/>
  <c r="F1436" i="28"/>
  <c r="G1436" i="28"/>
  <c r="H1436" i="28"/>
  <c r="I1436" i="28"/>
  <c r="B1437" i="28"/>
  <c r="C1437" i="28"/>
  <c r="D1437" i="28"/>
  <c r="E1437" i="28"/>
  <c r="F1437" i="28"/>
  <c r="G1437" i="28"/>
  <c r="H1437" i="28"/>
  <c r="I1437" i="28"/>
  <c r="B1438" i="28"/>
  <c r="C1438" i="28"/>
  <c r="D1438" i="28"/>
  <c r="E1438" i="28"/>
  <c r="F1438" i="28"/>
  <c r="G1438" i="28"/>
  <c r="H1438" i="28"/>
  <c r="I1438" i="28"/>
  <c r="B1439" i="28"/>
  <c r="C1439" i="28"/>
  <c r="D1439" i="28"/>
  <c r="E1439" i="28"/>
  <c r="F1439" i="28"/>
  <c r="G1439" i="28"/>
  <c r="H1439" i="28"/>
  <c r="I1439" i="28"/>
  <c r="B1440" i="28"/>
  <c r="C1440" i="28"/>
  <c r="D1440" i="28"/>
  <c r="E1440" i="28"/>
  <c r="F1440" i="28"/>
  <c r="G1440" i="28"/>
  <c r="H1440" i="28"/>
  <c r="I1440" i="28"/>
  <c r="B1441" i="28"/>
  <c r="C1441" i="28"/>
  <c r="D1441" i="28"/>
  <c r="E1441" i="28"/>
  <c r="F1441" i="28"/>
  <c r="G1441" i="28"/>
  <c r="H1441" i="28"/>
  <c r="I1441" i="28"/>
  <c r="B1442" i="28"/>
  <c r="C1442" i="28"/>
  <c r="D1442" i="28"/>
  <c r="E1442" i="28"/>
  <c r="F1442" i="28"/>
  <c r="G1442" i="28"/>
  <c r="H1442" i="28"/>
  <c r="I1442" i="28"/>
  <c r="B1443" i="28"/>
  <c r="C1443" i="28"/>
  <c r="D1443" i="28"/>
  <c r="E1443" i="28"/>
  <c r="F1443" i="28"/>
  <c r="G1443" i="28"/>
  <c r="H1443" i="28"/>
  <c r="I1443" i="28"/>
  <c r="B1444" i="28"/>
  <c r="C1444" i="28"/>
  <c r="D1444" i="28"/>
  <c r="E1444" i="28"/>
  <c r="F1444" i="28"/>
  <c r="G1444" i="28"/>
  <c r="H1444" i="28"/>
  <c r="I1444" i="28"/>
  <c r="B1445" i="28"/>
  <c r="C1445" i="28"/>
  <c r="D1445" i="28"/>
  <c r="E1445" i="28"/>
  <c r="F1445" i="28"/>
  <c r="G1445" i="28"/>
  <c r="H1445" i="28"/>
  <c r="I1445" i="28"/>
  <c r="B1446" i="28"/>
  <c r="C1446" i="28"/>
  <c r="D1446" i="28"/>
  <c r="E1446" i="28"/>
  <c r="F1446" i="28"/>
  <c r="G1446" i="28"/>
  <c r="H1446" i="28"/>
  <c r="I1446" i="28"/>
  <c r="B1447" i="28"/>
  <c r="C1447" i="28"/>
  <c r="D1447" i="28"/>
  <c r="E1447" i="28"/>
  <c r="F1447" i="28"/>
  <c r="G1447" i="28"/>
  <c r="H1447" i="28"/>
  <c r="I1447" i="28"/>
  <c r="B1452" i="28"/>
  <c r="C1452" i="28"/>
  <c r="D1452" i="28"/>
  <c r="E1452" i="28"/>
  <c r="F1452" i="28"/>
  <c r="G1452" i="28"/>
  <c r="H1452" i="28"/>
  <c r="I1452" i="28"/>
  <c r="B1455" i="28"/>
  <c r="C1455" i="28"/>
  <c r="D1455" i="28"/>
  <c r="E1455" i="28"/>
  <c r="F1455" i="28"/>
  <c r="G1455" i="28"/>
  <c r="H1455" i="28"/>
  <c r="I1455" i="28"/>
  <c r="B1456" i="28"/>
  <c r="C1456" i="28"/>
  <c r="D1456" i="28"/>
  <c r="E1456" i="28"/>
  <c r="F1456" i="28"/>
  <c r="G1456" i="28"/>
  <c r="H1456" i="28"/>
  <c r="I1456" i="28"/>
  <c r="B1457" i="28"/>
  <c r="C1457" i="28"/>
  <c r="D1457" i="28"/>
  <c r="E1457" i="28"/>
  <c r="F1457" i="28"/>
  <c r="G1457" i="28"/>
  <c r="H1457" i="28"/>
  <c r="I1457" i="28"/>
  <c r="B1458" i="28"/>
  <c r="C1458" i="28"/>
  <c r="D1458" i="28"/>
  <c r="E1458" i="28"/>
  <c r="F1458" i="28"/>
  <c r="G1458" i="28"/>
  <c r="H1458" i="28"/>
  <c r="I1458" i="28"/>
  <c r="B1459" i="28"/>
  <c r="C1459" i="28"/>
  <c r="D1459" i="28"/>
  <c r="E1459" i="28"/>
  <c r="F1459" i="28"/>
  <c r="G1459" i="28"/>
  <c r="H1459" i="28"/>
  <c r="I1459" i="28"/>
  <c r="B1460" i="28"/>
  <c r="C1460" i="28"/>
  <c r="D1460" i="28"/>
  <c r="E1460" i="28"/>
  <c r="F1460" i="28"/>
  <c r="G1460" i="28"/>
  <c r="H1460" i="28"/>
  <c r="I1460" i="28"/>
  <c r="B1461" i="28"/>
  <c r="C1461" i="28"/>
  <c r="D1461" i="28"/>
  <c r="E1461" i="28"/>
  <c r="F1461" i="28"/>
  <c r="G1461" i="28"/>
  <c r="H1461" i="28"/>
  <c r="I1461" i="28"/>
  <c r="B1462" i="28"/>
  <c r="C1462" i="28"/>
  <c r="D1462" i="28"/>
  <c r="E1462" i="28"/>
  <c r="F1462" i="28"/>
  <c r="G1462" i="28"/>
  <c r="H1462" i="28"/>
  <c r="I1462" i="28"/>
  <c r="B1463" i="28"/>
  <c r="C1463" i="28"/>
  <c r="D1463" i="28"/>
  <c r="E1463" i="28"/>
  <c r="F1463" i="28"/>
  <c r="G1463" i="28"/>
  <c r="H1463" i="28"/>
  <c r="I1463" i="28"/>
  <c r="B1464" i="28"/>
  <c r="C1464" i="28"/>
  <c r="D1464" i="28"/>
  <c r="E1464" i="28"/>
  <c r="F1464" i="28"/>
  <c r="G1464" i="28"/>
  <c r="H1464" i="28"/>
  <c r="I1464" i="28"/>
  <c r="B1465" i="28"/>
  <c r="C1465" i="28"/>
  <c r="D1465" i="28"/>
  <c r="E1465" i="28"/>
  <c r="F1465" i="28"/>
  <c r="G1465" i="28"/>
  <c r="H1465" i="28"/>
  <c r="I1465" i="28"/>
  <c r="B1466" i="28"/>
  <c r="C1466" i="28"/>
  <c r="D1466" i="28"/>
  <c r="E1466" i="28"/>
  <c r="F1466" i="28"/>
  <c r="G1466" i="28"/>
  <c r="H1466" i="28"/>
  <c r="I1466" i="28"/>
  <c r="B1471" i="28"/>
  <c r="C1471" i="28"/>
  <c r="D1471" i="28"/>
  <c r="E1471" i="28"/>
  <c r="F1471" i="28"/>
  <c r="G1471" i="28"/>
  <c r="H1471" i="28"/>
  <c r="I1471" i="28"/>
  <c r="B1474" i="28"/>
  <c r="C1474" i="28"/>
  <c r="D1474" i="28"/>
  <c r="E1474" i="28"/>
  <c r="F1474" i="28"/>
  <c r="G1474" i="28"/>
  <c r="H1474" i="28"/>
  <c r="I1474" i="28"/>
  <c r="B1475" i="28"/>
  <c r="C1475" i="28"/>
  <c r="D1475" i="28"/>
  <c r="E1475" i="28"/>
  <c r="F1475" i="28"/>
  <c r="G1475" i="28"/>
  <c r="H1475" i="28"/>
  <c r="I1475" i="28"/>
  <c r="B1476" i="28"/>
  <c r="C1476" i="28"/>
  <c r="D1476" i="28"/>
  <c r="E1476" i="28"/>
  <c r="F1476" i="28"/>
  <c r="G1476" i="28"/>
  <c r="H1476" i="28"/>
  <c r="I1476" i="28"/>
  <c r="B1477" i="28"/>
  <c r="C1477" i="28"/>
  <c r="D1477" i="28"/>
  <c r="E1477" i="28"/>
  <c r="F1477" i="28"/>
  <c r="G1477" i="28"/>
  <c r="H1477" i="28"/>
  <c r="I1477" i="28"/>
  <c r="B1478" i="28"/>
  <c r="C1478" i="28"/>
  <c r="D1478" i="28"/>
  <c r="E1478" i="28"/>
  <c r="F1478" i="28"/>
  <c r="G1478" i="28"/>
  <c r="H1478" i="28"/>
  <c r="I1478" i="28"/>
  <c r="B1479" i="28"/>
  <c r="C1479" i="28"/>
  <c r="D1479" i="28"/>
  <c r="E1479" i="28"/>
  <c r="F1479" i="28"/>
  <c r="G1479" i="28"/>
  <c r="H1479" i="28"/>
  <c r="I1479" i="28"/>
  <c r="B1480" i="28"/>
  <c r="C1480" i="28"/>
  <c r="D1480" i="28"/>
  <c r="E1480" i="28"/>
  <c r="F1480" i="28"/>
  <c r="G1480" i="28"/>
  <c r="H1480" i="28"/>
  <c r="I1480" i="28"/>
  <c r="B1481" i="28"/>
  <c r="C1481" i="28"/>
  <c r="D1481" i="28"/>
  <c r="E1481" i="28"/>
  <c r="F1481" i="28"/>
  <c r="G1481" i="28"/>
  <c r="H1481" i="28"/>
  <c r="I1481" i="28"/>
  <c r="B1482" i="28"/>
  <c r="C1482" i="28"/>
  <c r="D1482" i="28"/>
  <c r="E1482" i="28"/>
  <c r="F1482" i="28"/>
  <c r="G1482" i="28"/>
  <c r="H1482" i="28"/>
  <c r="I1482" i="28"/>
  <c r="B1483" i="28"/>
  <c r="C1483" i="28"/>
  <c r="D1483" i="28"/>
  <c r="E1483" i="28"/>
  <c r="F1483" i="28"/>
  <c r="G1483" i="28"/>
  <c r="H1483" i="28"/>
  <c r="I1483" i="28"/>
  <c r="B1484" i="28"/>
  <c r="C1484" i="28"/>
  <c r="D1484" i="28"/>
  <c r="E1484" i="28"/>
  <c r="F1484" i="28"/>
  <c r="G1484" i="28"/>
  <c r="H1484" i="28"/>
  <c r="I1484" i="28"/>
  <c r="B1485" i="28"/>
  <c r="C1485" i="28"/>
  <c r="D1485" i="28"/>
  <c r="E1485" i="28"/>
  <c r="F1485" i="28"/>
  <c r="G1485" i="28"/>
  <c r="H1485" i="28"/>
  <c r="I1485" i="28"/>
  <c r="B1525" i="28"/>
  <c r="B38" i="17" s="1"/>
  <c r="C1525" i="28"/>
  <c r="D1525" i="28"/>
  <c r="D38" i="17" s="1"/>
  <c r="E1525" i="28"/>
  <c r="E38" i="17" s="1"/>
  <c r="F1525" i="28"/>
  <c r="F38" i="17" s="1"/>
  <c r="G1525" i="28"/>
  <c r="G38" i="17" s="1"/>
  <c r="H1525" i="28"/>
  <c r="H38" i="17" s="1"/>
  <c r="I1525" i="28"/>
  <c r="I38" i="17" s="1"/>
  <c r="J1525" i="28"/>
  <c r="J38" i="17" s="1"/>
  <c r="K1525" i="28"/>
  <c r="K38" i="17" s="1"/>
  <c r="L1525" i="28"/>
  <c r="M1525" i="28"/>
  <c r="N1525" i="28"/>
  <c r="O1525" i="28"/>
  <c r="P1525" i="28"/>
  <c r="Q1525" i="28"/>
  <c r="B1527" i="28"/>
  <c r="B29" i="17" s="1"/>
  <c r="C1527" i="28"/>
  <c r="C29" i="17" s="1"/>
  <c r="D1527" i="28"/>
  <c r="D29" i="17" s="1"/>
  <c r="E1527" i="28"/>
  <c r="E29" i="17" s="1"/>
  <c r="F1527" i="28"/>
  <c r="G1527" i="28"/>
  <c r="G29" i="17" s="1"/>
  <c r="H1527" i="28"/>
  <c r="H29" i="17" s="1"/>
  <c r="I1527" i="28"/>
  <c r="I29" i="17" s="1"/>
  <c r="J1527" i="28"/>
  <c r="J29" i="17" s="1"/>
  <c r="K1527" i="28"/>
  <c r="K29" i="17" s="1"/>
  <c r="L1527" i="28"/>
  <c r="M1527" i="28"/>
  <c r="N1527" i="28"/>
  <c r="O1527" i="28"/>
  <c r="P1527" i="28"/>
  <c r="Q1527" i="28"/>
  <c r="B1528" i="28"/>
  <c r="B30" i="17" s="1"/>
  <c r="C1528" i="28"/>
  <c r="C30" i="17" s="1"/>
  <c r="D1528" i="28"/>
  <c r="D30" i="17" s="1"/>
  <c r="E1528" i="28"/>
  <c r="E30" i="17" s="1"/>
  <c r="F1528" i="28"/>
  <c r="F30" i="17" s="1"/>
  <c r="G1528" i="28"/>
  <c r="G30" i="17" s="1"/>
  <c r="H1528" i="28"/>
  <c r="H30" i="17" s="1"/>
  <c r="I1528" i="28"/>
  <c r="I30" i="17" s="1"/>
  <c r="J1528" i="28"/>
  <c r="J30" i="17" s="1"/>
  <c r="K1528" i="28"/>
  <c r="L1528" i="28"/>
  <c r="M1528" i="28"/>
  <c r="N1528" i="28"/>
  <c r="O1528" i="28"/>
  <c r="P1528" i="28"/>
  <c r="Q1528" i="28"/>
  <c r="B1538" i="28"/>
  <c r="B35" i="17" s="1"/>
  <c r="C1538" i="28"/>
  <c r="C35" i="17" s="1"/>
  <c r="D1538" i="28"/>
  <c r="D35" i="17" s="1"/>
  <c r="E1538" i="28"/>
  <c r="E35" i="17" s="1"/>
  <c r="F1538" i="28"/>
  <c r="F35" i="17" s="1"/>
  <c r="G1538" i="28"/>
  <c r="G35" i="17" s="1"/>
  <c r="H1538" i="28"/>
  <c r="H35" i="17" s="1"/>
  <c r="I1538" i="28"/>
  <c r="J1538" i="28"/>
  <c r="J35" i="17" s="1"/>
  <c r="K1538" i="28"/>
  <c r="K35" i="17" s="1"/>
  <c r="L1538" i="28"/>
  <c r="M1538" i="28"/>
  <c r="N1538" i="28"/>
  <c r="O1538" i="28"/>
  <c r="P1538" i="28"/>
  <c r="Q1538" i="28"/>
  <c r="B1539" i="28"/>
  <c r="B31" i="17" s="1"/>
  <c r="C1539" i="28"/>
  <c r="D1539" i="28"/>
  <c r="D31" i="17" s="1"/>
  <c r="E1539" i="28"/>
  <c r="F1539" i="28"/>
  <c r="F31" i="17" s="1"/>
  <c r="G1539" i="28"/>
  <c r="H1539" i="28"/>
  <c r="H31" i="17" s="1"/>
  <c r="I1539" i="28"/>
  <c r="J1539" i="28"/>
  <c r="J31" i="17" s="1"/>
  <c r="K1539" i="28"/>
  <c r="K31" i="17" s="1"/>
  <c r="L1539" i="28"/>
  <c r="M1539" i="28"/>
  <c r="N1539" i="28"/>
  <c r="O1539" i="28"/>
  <c r="P1539" i="28"/>
  <c r="Q1539" i="28"/>
  <c r="B1542" i="28"/>
  <c r="B23" i="17" s="1"/>
  <c r="C1542" i="28"/>
  <c r="C23" i="17" s="1"/>
  <c r="D1542" i="28"/>
  <c r="D23" i="17" s="1"/>
  <c r="E1542" i="28"/>
  <c r="E23" i="17" s="1"/>
  <c r="F1542" i="28"/>
  <c r="F23" i="17" s="1"/>
  <c r="G1542" i="28"/>
  <c r="G23" i="17" s="1"/>
  <c r="H1542" i="28"/>
  <c r="H23" i="17" s="1"/>
  <c r="I1542" i="28"/>
  <c r="I23" i="17" s="1"/>
  <c r="J1542" i="28"/>
  <c r="J23" i="17" s="1"/>
  <c r="K1542" i="28"/>
  <c r="K23" i="17" s="1"/>
  <c r="L1542" i="28"/>
  <c r="M1542" i="28"/>
  <c r="N1542" i="28"/>
  <c r="O1542" i="28"/>
  <c r="P1542" i="28"/>
  <c r="Q1542" i="28"/>
  <c r="B1544" i="28"/>
  <c r="B33" i="17" s="1"/>
  <c r="C1544" i="28"/>
  <c r="C33" i="17" s="1"/>
  <c r="D1544" i="28"/>
  <c r="D33" i="17" s="1"/>
  <c r="E1544" i="28"/>
  <c r="E33" i="17" s="1"/>
  <c r="F1544" i="28"/>
  <c r="F33" i="17" s="1"/>
  <c r="G1544" i="28"/>
  <c r="G33" i="17" s="1"/>
  <c r="H1544" i="28"/>
  <c r="H33" i="17" s="1"/>
  <c r="I1544" i="28"/>
  <c r="J1544" i="28"/>
  <c r="J33" i="17" s="1"/>
  <c r="K1544" i="28"/>
  <c r="K33" i="17" s="1"/>
  <c r="L1544" i="28"/>
  <c r="M1544" i="28"/>
  <c r="N1544" i="28"/>
  <c r="O1544" i="28"/>
  <c r="P1544" i="28"/>
  <c r="Q1544" i="28"/>
  <c r="B1545" i="28"/>
  <c r="B28" i="17" s="1"/>
  <c r="C1545" i="28"/>
  <c r="C28" i="17" s="1"/>
  <c r="D1545" i="28"/>
  <c r="D28" i="17" s="1"/>
  <c r="E1545" i="28"/>
  <c r="E28" i="17" s="1"/>
  <c r="F1545" i="28"/>
  <c r="F28" i="17" s="1"/>
  <c r="G1545" i="28"/>
  <c r="G28" i="17" s="1"/>
  <c r="H1545" i="28"/>
  <c r="H28" i="17" s="1"/>
  <c r="I1545" i="28"/>
  <c r="I28" i="17" s="1"/>
  <c r="J1545" i="28"/>
  <c r="J28" i="17" s="1"/>
  <c r="K1545" i="28"/>
  <c r="K28" i="17" s="1"/>
  <c r="L1545" i="28"/>
  <c r="M1545" i="28"/>
  <c r="N1545" i="28"/>
  <c r="O1545" i="28"/>
  <c r="P1545" i="28"/>
  <c r="Q1545" i="28"/>
  <c r="B1547" i="28"/>
  <c r="B25" i="17" s="1"/>
  <c r="C1547" i="28"/>
  <c r="C25" i="17" s="1"/>
  <c r="D1547" i="28"/>
  <c r="D25" i="17" s="1"/>
  <c r="E1547" i="28"/>
  <c r="E25" i="17" s="1"/>
  <c r="F1547" i="28"/>
  <c r="F25" i="17" s="1"/>
  <c r="G1547" i="28"/>
  <c r="G25" i="17" s="1"/>
  <c r="H1547" i="28"/>
  <c r="H25" i="17" s="1"/>
  <c r="I1547" i="28"/>
  <c r="I25" i="17" s="1"/>
  <c r="J1547" i="28"/>
  <c r="J25" i="17" s="1"/>
  <c r="K1547" i="28"/>
  <c r="K25" i="17" s="1"/>
  <c r="L1547" i="28"/>
  <c r="M1547" i="28"/>
  <c r="N1547" i="28"/>
  <c r="O1547" i="28"/>
  <c r="P1547" i="28"/>
  <c r="Q1547" i="28"/>
  <c r="B1552" i="28"/>
  <c r="B24" i="17" s="1"/>
  <c r="C1552" i="28"/>
  <c r="C24" i="17" s="1"/>
  <c r="D1552" i="28"/>
  <c r="D24" i="17" s="1"/>
  <c r="E1552" i="28"/>
  <c r="E24" i="17" s="1"/>
  <c r="F1552" i="28"/>
  <c r="F24" i="17" s="1"/>
  <c r="G1552" i="28"/>
  <c r="G24" i="17" s="1"/>
  <c r="H1552" i="28"/>
  <c r="I1552" i="28"/>
  <c r="I24" i="17" s="1"/>
  <c r="J1552" i="28"/>
  <c r="J24" i="17" s="1"/>
  <c r="K1552" i="28"/>
  <c r="K24" i="17" s="1"/>
  <c r="L1552" i="28"/>
  <c r="M1552" i="28"/>
  <c r="N1552" i="28"/>
  <c r="O1552" i="28"/>
  <c r="P1552" i="28"/>
  <c r="Q1552" i="28"/>
  <c r="B1553" i="28"/>
  <c r="B36" i="17" s="1"/>
  <c r="C1553" i="28"/>
  <c r="D1553" i="28"/>
  <c r="D36" i="17" s="1"/>
  <c r="E1553" i="28"/>
  <c r="E36" i="17" s="1"/>
  <c r="F1553" i="28"/>
  <c r="F36" i="17" s="1"/>
  <c r="G1553" i="28"/>
  <c r="G36" i="17" s="1"/>
  <c r="H1553" i="28"/>
  <c r="H36" i="17" s="1"/>
  <c r="I1553" i="28"/>
  <c r="I36" i="17" s="1"/>
  <c r="J1553" i="28"/>
  <c r="J36" i="17" s="1"/>
  <c r="K1553" i="28"/>
  <c r="K36" i="17" s="1"/>
  <c r="L1553" i="28"/>
  <c r="M1553" i="28"/>
  <c r="N1553" i="28"/>
  <c r="O1553" i="28"/>
  <c r="P1553" i="28"/>
  <c r="Q1553" i="28"/>
  <c r="B1554" i="28"/>
  <c r="B37" i="17" s="1"/>
  <c r="C1554" i="28"/>
  <c r="C37" i="17" s="1"/>
  <c r="D1554" i="28"/>
  <c r="D37" i="17" s="1"/>
  <c r="E1554" i="28"/>
  <c r="E37" i="17" s="1"/>
  <c r="F1554" i="28"/>
  <c r="F37" i="17" s="1"/>
  <c r="G1554" i="28"/>
  <c r="G37" i="17" s="1"/>
  <c r="H1554" i="28"/>
  <c r="H37" i="17" s="1"/>
  <c r="I1554" i="28"/>
  <c r="I37" i="17" s="1"/>
  <c r="J1554" i="28"/>
  <c r="J37" i="17" s="1"/>
  <c r="K1554" i="28"/>
  <c r="K37" i="17" s="1"/>
  <c r="L1554" i="28"/>
  <c r="M1554" i="28"/>
  <c r="N1554" i="28"/>
  <c r="O1554" i="28"/>
  <c r="P1554" i="28"/>
  <c r="Q1554" i="28"/>
  <c r="B1556" i="28"/>
  <c r="B26" i="17" s="1"/>
  <c r="C1556" i="28"/>
  <c r="C26" i="17" s="1"/>
  <c r="D1556" i="28"/>
  <c r="E1556" i="28"/>
  <c r="E26" i="17" s="1"/>
  <c r="F1556" i="28"/>
  <c r="F26" i="17" s="1"/>
  <c r="G1556" i="28"/>
  <c r="H1556" i="28"/>
  <c r="H26" i="17" s="1"/>
  <c r="I1556" i="28"/>
  <c r="I26" i="17" s="1"/>
  <c r="J1556" i="28"/>
  <c r="J26" i="17" s="1"/>
  <c r="K1556" i="28"/>
  <c r="K26" i="17" s="1"/>
  <c r="L1556" i="28"/>
  <c r="M1556" i="28"/>
  <c r="N1556" i="28"/>
  <c r="O1556" i="28"/>
  <c r="P1556" i="28"/>
  <c r="Q1556" i="28"/>
  <c r="B1560" i="28"/>
  <c r="B34" i="17" s="1"/>
  <c r="C1560" i="28"/>
  <c r="C34" i="17" s="1"/>
  <c r="D1560" i="28"/>
  <c r="E1560" i="28"/>
  <c r="E34" i="17" s="1"/>
  <c r="F1560" i="28"/>
  <c r="F34" i="17" s="1"/>
  <c r="G1560" i="28"/>
  <c r="G34" i="17" s="1"/>
  <c r="H1560" i="28"/>
  <c r="H34" i="17" s="1"/>
  <c r="I1560" i="28"/>
  <c r="I34" i="17" s="1"/>
  <c r="J1560" i="28"/>
  <c r="J34" i="17" s="1"/>
  <c r="K1560" i="28"/>
  <c r="K34" i="17" s="1"/>
  <c r="L1560" i="28"/>
  <c r="M1560" i="28"/>
  <c r="N1560" i="28"/>
  <c r="O1560" i="28"/>
  <c r="P1560" i="28"/>
  <c r="Q1560" i="28"/>
  <c r="B1562" i="28"/>
  <c r="B32" i="17" s="1"/>
  <c r="C1562" i="28"/>
  <c r="D1562" i="28"/>
  <c r="D32" i="17" s="1"/>
  <c r="E1562" i="28"/>
  <c r="E32" i="17" s="1"/>
  <c r="F1562" i="28"/>
  <c r="F32" i="17" s="1"/>
  <c r="G1562" i="28"/>
  <c r="G32" i="17" s="1"/>
  <c r="H1562" i="28"/>
  <c r="I1562" i="28"/>
  <c r="I32" i="17" s="1"/>
  <c r="J1562" i="28"/>
  <c r="J32" i="17" s="1"/>
  <c r="K1562" i="28"/>
  <c r="K32" i="17" s="1"/>
  <c r="L1562" i="28"/>
  <c r="M1562" i="28"/>
  <c r="N1562" i="28"/>
  <c r="O1562" i="28"/>
  <c r="P1562" i="28"/>
  <c r="Q1562" i="28"/>
  <c r="B1563" i="28"/>
  <c r="B27" i="17" s="1"/>
  <c r="C1563" i="28"/>
  <c r="C27" i="17" s="1"/>
  <c r="D1563" i="28"/>
  <c r="D27" i="17" s="1"/>
  <c r="E1563" i="28"/>
  <c r="F1563" i="28"/>
  <c r="F27" i="17" s="1"/>
  <c r="G1563" i="28"/>
  <c r="G27" i="17" s="1"/>
  <c r="H1563" i="28"/>
  <c r="H27" i="17" s="1"/>
  <c r="I1563" i="28"/>
  <c r="J1563" i="28"/>
  <c r="J27" i="17" s="1"/>
  <c r="K1563" i="28"/>
  <c r="K27" i="17" s="1"/>
  <c r="L1563" i="28"/>
  <c r="M1563" i="28"/>
  <c r="N1563" i="28"/>
  <c r="O1563" i="28"/>
  <c r="P1563" i="28"/>
  <c r="Q1563" i="28"/>
  <c r="B1564" i="28"/>
  <c r="C1564" i="28"/>
  <c r="D1564" i="28"/>
  <c r="E1564" i="28"/>
  <c r="F1564" i="28"/>
  <c r="G1564" i="28"/>
  <c r="H1564" i="28"/>
  <c r="I1564" i="28"/>
  <c r="J1564" i="28"/>
  <c r="K1564" i="28"/>
  <c r="L1564" i="28"/>
  <c r="M1564" i="28"/>
  <c r="N1564" i="28"/>
  <c r="O1564" i="28"/>
  <c r="P1564" i="28"/>
  <c r="Q1564" i="28"/>
  <c r="B1575" i="28"/>
  <c r="C1575" i="28"/>
  <c r="D1575" i="28"/>
  <c r="E1575" i="28"/>
  <c r="F1575" i="28"/>
  <c r="G1575" i="28"/>
  <c r="H1575" i="28"/>
  <c r="I1575" i="28"/>
  <c r="J1575" i="28"/>
  <c r="K1575" i="28"/>
  <c r="L1575" i="28"/>
  <c r="M1575" i="28"/>
  <c r="N1575" i="28"/>
  <c r="O1575" i="28"/>
  <c r="P1575" i="28"/>
  <c r="Q1575" i="28"/>
  <c r="B1584" i="28"/>
  <c r="C1584" i="28"/>
  <c r="D1584" i="28"/>
  <c r="E1584" i="28"/>
  <c r="F1584" i="28"/>
  <c r="G1584" i="28"/>
  <c r="H1584" i="28"/>
  <c r="I1584" i="28"/>
  <c r="B1593" i="28"/>
  <c r="C1593" i="28"/>
  <c r="D1593" i="28"/>
  <c r="E1593" i="28"/>
  <c r="F1593" i="28"/>
  <c r="G1593" i="28"/>
  <c r="H1593" i="28"/>
  <c r="I1593" i="28"/>
  <c r="B1602" i="28"/>
  <c r="C1602" i="28"/>
  <c r="D1602" i="28"/>
  <c r="E1602" i="28"/>
  <c r="F1602" i="28"/>
  <c r="G1602" i="28"/>
  <c r="H1602" i="28"/>
  <c r="I1602" i="28"/>
  <c r="B1613" i="28"/>
  <c r="C1613" i="28"/>
  <c r="D1613" i="28"/>
  <c r="E1613" i="28"/>
  <c r="F1613" i="28"/>
  <c r="G1613" i="28"/>
  <c r="H1613" i="28"/>
  <c r="I1613" i="28"/>
  <c r="J1613" i="28"/>
  <c r="K1613" i="28"/>
  <c r="L1613" i="28"/>
  <c r="M1613" i="28"/>
  <c r="N1613" i="28"/>
  <c r="O1613" i="28"/>
  <c r="P1613" i="28"/>
  <c r="Q1613" i="28"/>
  <c r="B1614" i="28"/>
  <c r="C1614" i="28"/>
  <c r="D1614" i="28"/>
  <c r="E1614" i="28"/>
  <c r="F1614" i="28"/>
  <c r="G1614" i="28"/>
  <c r="H1614" i="28"/>
  <c r="I1614" i="28"/>
  <c r="J1614" i="28"/>
  <c r="K1614" i="28"/>
  <c r="L1614" i="28"/>
  <c r="M1614" i="28"/>
  <c r="N1614" i="28"/>
  <c r="O1614" i="28"/>
  <c r="P1614" i="28"/>
  <c r="Q1614" i="28"/>
  <c r="B1615" i="28"/>
  <c r="C1615" i="28"/>
  <c r="D1615" i="28"/>
  <c r="E1615" i="28"/>
  <c r="F1615" i="28"/>
  <c r="G1615" i="28"/>
  <c r="H1615" i="28"/>
  <c r="I1615" i="28"/>
  <c r="J1615" i="28"/>
  <c r="K1615" i="28"/>
  <c r="L1615" i="28"/>
  <c r="M1615" i="28"/>
  <c r="N1615" i="28"/>
  <c r="O1615" i="28"/>
  <c r="P1615" i="28"/>
  <c r="Q1615" i="28"/>
  <c r="B1616" i="28"/>
  <c r="C1616" i="28"/>
  <c r="D1616" i="28"/>
  <c r="E1616" i="28"/>
  <c r="F1616" i="28"/>
  <c r="G1616" i="28"/>
  <c r="H1616" i="28"/>
  <c r="I1616" i="28"/>
  <c r="J1616" i="28"/>
  <c r="K1616" i="28"/>
  <c r="L1616" i="28"/>
  <c r="M1616" i="28"/>
  <c r="N1616" i="28"/>
  <c r="O1616" i="28"/>
  <c r="P1616" i="28"/>
  <c r="Q1616" i="28"/>
  <c r="B1617" i="28"/>
  <c r="C1617" i="28"/>
  <c r="D1617" i="28"/>
  <c r="E1617" i="28"/>
  <c r="F1617" i="28"/>
  <c r="G1617" i="28"/>
  <c r="H1617" i="28"/>
  <c r="I1617" i="28"/>
  <c r="J1617" i="28"/>
  <c r="K1617" i="28"/>
  <c r="L1617" i="28"/>
  <c r="M1617" i="28"/>
  <c r="N1617" i="28"/>
  <c r="O1617" i="28"/>
  <c r="P1617" i="28"/>
  <c r="Q1617" i="28"/>
  <c r="B1618" i="28"/>
  <c r="C1618" i="28"/>
  <c r="D1618" i="28"/>
  <c r="E1618" i="28"/>
  <c r="F1618" i="28"/>
  <c r="G1618" i="28"/>
  <c r="H1618" i="28"/>
  <c r="I1618" i="28"/>
  <c r="J1618" i="28"/>
  <c r="K1618" i="28"/>
  <c r="L1618" i="28"/>
  <c r="M1618" i="28"/>
  <c r="N1618" i="28"/>
  <c r="O1618" i="28"/>
  <c r="P1618" i="28"/>
  <c r="Q1618" i="28"/>
  <c r="B1619" i="28"/>
  <c r="C1619" i="28"/>
  <c r="D1619" i="28"/>
  <c r="E1619" i="28"/>
  <c r="F1619" i="28"/>
  <c r="G1619" i="28"/>
  <c r="H1619" i="28"/>
  <c r="I1619" i="28"/>
  <c r="J1619" i="28"/>
  <c r="K1619" i="28"/>
  <c r="L1619" i="28"/>
  <c r="M1619" i="28"/>
  <c r="N1619" i="28"/>
  <c r="O1619" i="28"/>
  <c r="P1619" i="28"/>
  <c r="Q1619" i="28"/>
  <c r="B1620" i="28"/>
  <c r="C1620" i="28"/>
  <c r="D1620" i="28"/>
  <c r="E1620" i="28"/>
  <c r="F1620" i="28"/>
  <c r="G1620" i="28"/>
  <c r="H1620" i="28"/>
  <c r="I1620" i="28"/>
  <c r="J1620" i="28"/>
  <c r="K1620" i="28"/>
  <c r="L1620" i="28"/>
  <c r="M1620" i="28"/>
  <c r="N1620" i="28"/>
  <c r="O1620" i="28"/>
  <c r="P1620" i="28"/>
  <c r="Q1620" i="28"/>
  <c r="B1621" i="28"/>
  <c r="C1621" i="28"/>
  <c r="D1621" i="28"/>
  <c r="E1621" i="28"/>
  <c r="F1621" i="28"/>
  <c r="G1621" i="28"/>
  <c r="H1621" i="28"/>
  <c r="I1621" i="28"/>
  <c r="J1621" i="28"/>
  <c r="K1621" i="28"/>
  <c r="L1621" i="28"/>
  <c r="M1621" i="28"/>
  <c r="N1621" i="28"/>
  <c r="O1621" i="28"/>
  <c r="P1621" i="28"/>
  <c r="Q1621" i="28"/>
  <c r="B1622" i="28"/>
  <c r="C1622" i="28"/>
  <c r="D1622" i="28"/>
  <c r="E1622" i="28"/>
  <c r="F1622" i="28"/>
  <c r="G1622" i="28"/>
  <c r="H1622" i="28"/>
  <c r="I1622" i="28"/>
  <c r="J1622" i="28"/>
  <c r="K1622" i="28"/>
  <c r="L1622" i="28"/>
  <c r="M1622" i="28"/>
  <c r="N1622" i="28"/>
  <c r="O1622" i="28"/>
  <c r="P1622" i="28"/>
  <c r="Q1622" i="28"/>
  <c r="B1623" i="28"/>
  <c r="C1623" i="28"/>
  <c r="D1623" i="28"/>
  <c r="E1623" i="28"/>
  <c r="F1623" i="28"/>
  <c r="G1623" i="28"/>
  <c r="H1623" i="28"/>
  <c r="I1623" i="28"/>
  <c r="J1623" i="28"/>
  <c r="K1623" i="28"/>
  <c r="L1623" i="28"/>
  <c r="M1623" i="28"/>
  <c r="N1623" i="28"/>
  <c r="O1623" i="28"/>
  <c r="P1623" i="28"/>
  <c r="Q1623" i="28"/>
  <c r="B1624" i="28"/>
  <c r="C1624" i="28"/>
  <c r="D1624" i="28"/>
  <c r="E1624" i="28"/>
  <c r="F1624" i="28"/>
  <c r="G1624" i="28"/>
  <c r="H1624" i="28"/>
  <c r="I1624" i="28"/>
  <c r="J1624" i="28"/>
  <c r="K1624" i="28"/>
  <c r="L1624" i="28"/>
  <c r="M1624" i="28"/>
  <c r="N1624" i="28"/>
  <c r="O1624" i="28"/>
  <c r="P1624" i="28"/>
  <c r="Q1624" i="28"/>
  <c r="B1625" i="28"/>
  <c r="C1625" i="28"/>
  <c r="D1625" i="28"/>
  <c r="E1625" i="28"/>
  <c r="F1625" i="28"/>
  <c r="G1625" i="28"/>
  <c r="H1625" i="28"/>
  <c r="I1625" i="28"/>
  <c r="J1625" i="28"/>
  <c r="K1625" i="28"/>
  <c r="L1625" i="28"/>
  <c r="M1625" i="28"/>
  <c r="N1625" i="28"/>
  <c r="O1625" i="28"/>
  <c r="P1625" i="28"/>
  <c r="Q1625" i="28"/>
  <c r="B1626" i="28"/>
  <c r="C1626" i="28"/>
  <c r="D1626" i="28"/>
  <c r="E1626" i="28"/>
  <c r="F1626" i="28"/>
  <c r="G1626" i="28"/>
  <c r="H1626" i="28"/>
  <c r="I1626" i="28"/>
  <c r="J1626" i="28"/>
  <c r="K1626" i="28"/>
  <c r="L1626" i="28"/>
  <c r="M1626" i="28"/>
  <c r="N1626" i="28"/>
  <c r="O1626" i="28"/>
  <c r="P1626" i="28"/>
  <c r="Q1626" i="28"/>
  <c r="B1627" i="28"/>
  <c r="C1627" i="28"/>
  <c r="D1627" i="28"/>
  <c r="E1627" i="28"/>
  <c r="F1627" i="28"/>
  <c r="G1627" i="28"/>
  <c r="H1627" i="28"/>
  <c r="I1627" i="28"/>
  <c r="J1627" i="28"/>
  <c r="K1627" i="28"/>
  <c r="L1627" i="28"/>
  <c r="M1627" i="28"/>
  <c r="N1627" i="28"/>
  <c r="O1627" i="28"/>
  <c r="P1627" i="28"/>
  <c r="Q1627" i="28"/>
  <c r="B1628" i="28"/>
  <c r="C1628" i="28"/>
  <c r="D1628" i="28"/>
  <c r="E1628" i="28"/>
  <c r="F1628" i="28"/>
  <c r="G1628" i="28"/>
  <c r="H1628" i="28"/>
  <c r="I1628" i="28"/>
  <c r="J1628" i="28"/>
  <c r="K1628" i="28"/>
  <c r="L1628" i="28"/>
  <c r="M1628" i="28"/>
  <c r="N1628" i="28"/>
  <c r="O1628" i="28"/>
  <c r="P1628" i="28"/>
  <c r="Q1628" i="28"/>
  <c r="B1629" i="28"/>
  <c r="M8" i="17" s="1"/>
  <c r="C1629" i="28"/>
  <c r="N8" i="17" s="1"/>
  <c r="D1629" i="28"/>
  <c r="E1629" i="28"/>
  <c r="P8" i="17" s="1"/>
  <c r="F1629" i="28"/>
  <c r="Q8" i="17" s="1"/>
  <c r="G1629" i="28"/>
  <c r="R8" i="17" s="1"/>
  <c r="H1629" i="28"/>
  <c r="S8" i="17" s="1"/>
  <c r="I1629" i="28"/>
  <c r="T8" i="17" s="1"/>
  <c r="J1629" i="28"/>
  <c r="U8" i="17" s="1"/>
  <c r="K1629" i="28"/>
  <c r="V8" i="17" s="1"/>
  <c r="L1629" i="28"/>
  <c r="M1629" i="28"/>
  <c r="N1629" i="28"/>
  <c r="O1629" i="28"/>
  <c r="P1629" i="28"/>
  <c r="Q1629" i="28"/>
  <c r="B1630" i="28"/>
  <c r="M9" i="17" s="1"/>
  <c r="C1630" i="28"/>
  <c r="N10" i="17" s="1"/>
  <c r="D1630" i="28"/>
  <c r="O9" i="17" s="1"/>
  <c r="E1630" i="28"/>
  <c r="P10" i="17" s="1"/>
  <c r="F1630" i="28"/>
  <c r="G1630" i="28"/>
  <c r="R10" i="17" s="1"/>
  <c r="H1630" i="28"/>
  <c r="S9" i="17" s="1"/>
  <c r="I1630" i="28"/>
  <c r="T10" i="17" s="1"/>
  <c r="J1630" i="28"/>
  <c r="U9" i="17" s="1"/>
  <c r="K1630" i="28"/>
  <c r="V9" i="17" s="1"/>
  <c r="L1630" i="28"/>
  <c r="M1630" i="28"/>
  <c r="N1630" i="28"/>
  <c r="O1630" i="28"/>
  <c r="P1630" i="28"/>
  <c r="Q1630" i="28"/>
  <c r="B1632" i="28"/>
  <c r="M5" i="17" s="1"/>
  <c r="C1632" i="28"/>
  <c r="N5" i="17" s="1"/>
  <c r="D1632" i="28"/>
  <c r="O5" i="17" s="1"/>
  <c r="E1632" i="28"/>
  <c r="P5" i="17" s="1"/>
  <c r="F1632" i="28"/>
  <c r="Q5" i="17" s="1"/>
  <c r="G1632" i="28"/>
  <c r="R5" i="17" s="1"/>
  <c r="H1632" i="28"/>
  <c r="S5" i="17" s="1"/>
  <c r="I1632" i="28"/>
  <c r="J1632" i="28"/>
  <c r="U5" i="17" s="1"/>
  <c r="K1632" i="28"/>
  <c r="V5" i="17" s="1"/>
  <c r="L1632" i="28"/>
  <c r="M1632" i="28"/>
  <c r="N1632" i="28"/>
  <c r="O1632" i="28"/>
  <c r="P1632" i="28"/>
  <c r="Q1632" i="28"/>
  <c r="B1633" i="28"/>
  <c r="M11" i="17" s="1"/>
  <c r="C1633" i="28"/>
  <c r="N11" i="17" s="1"/>
  <c r="D1633" i="28"/>
  <c r="O11" i="17" s="1"/>
  <c r="E1633" i="28"/>
  <c r="P11" i="17" s="1"/>
  <c r="F1633" i="28"/>
  <c r="Q11" i="17" s="1"/>
  <c r="G1633" i="28"/>
  <c r="R11" i="17" s="1"/>
  <c r="H1633" i="28"/>
  <c r="S11" i="17" s="1"/>
  <c r="I1633" i="28"/>
  <c r="T11" i="17" s="1"/>
  <c r="J1633" i="28"/>
  <c r="U11" i="17" s="1"/>
  <c r="K1633" i="28"/>
  <c r="V11" i="17" s="1"/>
  <c r="L1633" i="28"/>
  <c r="M1633" i="28"/>
  <c r="N1633" i="28"/>
  <c r="O1633" i="28"/>
  <c r="P1633" i="28"/>
  <c r="Q1633" i="28"/>
  <c r="B1635" i="28"/>
  <c r="M7" i="17" s="1"/>
  <c r="C1635" i="28"/>
  <c r="N7" i="17" s="1"/>
  <c r="D1635" i="28"/>
  <c r="O7" i="17" s="1"/>
  <c r="E1635" i="28"/>
  <c r="P7" i="17" s="1"/>
  <c r="F1635" i="28"/>
  <c r="Q7" i="17" s="1"/>
  <c r="G1635" i="28"/>
  <c r="H1635" i="28"/>
  <c r="S7" i="17" s="1"/>
  <c r="I1635" i="28"/>
  <c r="T7" i="17" s="1"/>
  <c r="J1635" i="28"/>
  <c r="U7" i="17" s="1"/>
  <c r="K1635" i="28"/>
  <c r="V7" i="17" s="1"/>
  <c r="L1635" i="28"/>
  <c r="M1635" i="28"/>
  <c r="N1635" i="28"/>
  <c r="O1635" i="28"/>
  <c r="P1635" i="28"/>
  <c r="Q1635" i="28"/>
  <c r="B1636" i="28"/>
  <c r="M12" i="17" s="1"/>
  <c r="C1636" i="28"/>
  <c r="N12" i="17" s="1"/>
  <c r="D1636" i="28"/>
  <c r="O12" i="17" s="1"/>
  <c r="E1636" i="28"/>
  <c r="P12" i="17" s="1"/>
  <c r="F1636" i="28"/>
  <c r="Q12" i="17" s="1"/>
  <c r="G1636" i="28"/>
  <c r="R12" i="17" s="1"/>
  <c r="H1636" i="28"/>
  <c r="S12" i="17" s="1"/>
  <c r="I1636" i="28"/>
  <c r="T12" i="17" s="1"/>
  <c r="J1636" i="28"/>
  <c r="U12" i="17" s="1"/>
  <c r="K1636" i="28"/>
  <c r="V12" i="17" s="1"/>
  <c r="L1636" i="28"/>
  <c r="M1636" i="28"/>
  <c r="N1636" i="28"/>
  <c r="O1636" i="28"/>
  <c r="P1636" i="28"/>
  <c r="Q1636" i="28"/>
  <c r="B1645" i="28"/>
  <c r="M4" i="17" s="1"/>
  <c r="C1645" i="28"/>
  <c r="N4" i="17" s="1"/>
  <c r="D1645" i="28"/>
  <c r="E1645" i="28"/>
  <c r="P4" i="17" s="1"/>
  <c r="F1645" i="28"/>
  <c r="Q4" i="17" s="1"/>
  <c r="G1645" i="28"/>
  <c r="R4" i="17" s="1"/>
  <c r="H1645" i="28"/>
  <c r="S4" i="17" s="1"/>
  <c r="I1645" i="28"/>
  <c r="T4" i="17" s="1"/>
  <c r="J1645" i="28"/>
  <c r="U4" i="17" s="1"/>
  <c r="K1645" i="28"/>
  <c r="V4" i="17" s="1"/>
  <c r="L1645" i="28"/>
  <c r="M1645" i="28"/>
  <c r="N1645" i="28"/>
  <c r="O1645" i="28"/>
  <c r="P1645" i="28"/>
  <c r="Q1645" i="28"/>
  <c r="B1646" i="28"/>
  <c r="M6" i="17" s="1"/>
  <c r="C1646" i="28"/>
  <c r="N6" i="17" s="1"/>
  <c r="D1646" i="28"/>
  <c r="O6" i="17" s="1"/>
  <c r="E1646" i="28"/>
  <c r="P6" i="17" s="1"/>
  <c r="F1646" i="28"/>
  <c r="Q6" i="17" s="1"/>
  <c r="G1646" i="28"/>
  <c r="R6" i="17" s="1"/>
  <c r="H1646" i="28"/>
  <c r="S6" i="17" s="1"/>
  <c r="I1646" i="28"/>
  <c r="T6" i="17" s="1"/>
  <c r="J1646" i="28"/>
  <c r="U6" i="17" s="1"/>
  <c r="K1646" i="28"/>
  <c r="V6" i="17" s="1"/>
  <c r="L1646" i="28"/>
  <c r="M1646" i="28"/>
  <c r="N1646" i="28"/>
  <c r="O1646" i="28"/>
  <c r="P1646" i="28"/>
  <c r="Q1646" i="28"/>
  <c r="B1651" i="28"/>
  <c r="B1652" i="28"/>
  <c r="B1653" i="28"/>
  <c r="B1654" i="28"/>
  <c r="B1655" i="28"/>
  <c r="B1656" i="28"/>
  <c r="B1657" i="28"/>
  <c r="B1660" i="28"/>
  <c r="B1661" i="28"/>
  <c r="B1695" i="28"/>
  <c r="C1695" i="28"/>
  <c r="D1695" i="28"/>
  <c r="E1695" i="28"/>
  <c r="F1695" i="28"/>
  <c r="G1695" i="28"/>
  <c r="B1697" i="28"/>
  <c r="C1697" i="28"/>
  <c r="D1697" i="28"/>
  <c r="E1697" i="28"/>
  <c r="F1697" i="28"/>
  <c r="G1697" i="28"/>
  <c r="B1703" i="28"/>
  <c r="C1703" i="28"/>
  <c r="D1703" i="28"/>
  <c r="E1703" i="28"/>
  <c r="F1703" i="28"/>
  <c r="G1703" i="28"/>
  <c r="B1704" i="28"/>
  <c r="C1704" i="28"/>
  <c r="D1704" i="28"/>
  <c r="E1704" i="28"/>
  <c r="F1704" i="28"/>
  <c r="G1704" i="28"/>
  <c r="B1739" i="28"/>
  <c r="C1739" i="28"/>
  <c r="D1739" i="28"/>
  <c r="E1739" i="28"/>
  <c r="F1739" i="28"/>
  <c r="G1739" i="28"/>
  <c r="B1741" i="28"/>
  <c r="C1741" i="28"/>
  <c r="D1741" i="28"/>
  <c r="E1741" i="28"/>
  <c r="F1741" i="28"/>
  <c r="G1741" i="28"/>
  <c r="B1747" i="28"/>
  <c r="C1747" i="28"/>
  <c r="D1747" i="28"/>
  <c r="E1747" i="28"/>
  <c r="F1747" i="28"/>
  <c r="G1747" i="28"/>
  <c r="B1748" i="28"/>
  <c r="C1748" i="28"/>
  <c r="D1748" i="28"/>
  <c r="E1748" i="28"/>
  <c r="F1748" i="28"/>
  <c r="G1748" i="28"/>
  <c r="B1758" i="28"/>
  <c r="C1758" i="28"/>
  <c r="D1758" i="28"/>
  <c r="E1758" i="28"/>
  <c r="F1758" i="28"/>
  <c r="G1758" i="28"/>
  <c r="B1759" i="28"/>
  <c r="C1759" i="28"/>
  <c r="D1759" i="28"/>
  <c r="E1759" i="28"/>
  <c r="F1759" i="28"/>
  <c r="G1759" i="28"/>
  <c r="B1760" i="28"/>
  <c r="C1760" i="28"/>
  <c r="D1760" i="28"/>
  <c r="E1760" i="28"/>
  <c r="F1760" i="28"/>
  <c r="G1760" i="28"/>
  <c r="B1787" i="28"/>
  <c r="C1787" i="28"/>
  <c r="D1787" i="28"/>
  <c r="E1787" i="28"/>
  <c r="F1787" i="28"/>
  <c r="G1787" i="28"/>
  <c r="B1788" i="28"/>
  <c r="C1788" i="28"/>
  <c r="D1788" i="28"/>
  <c r="E1788" i="28"/>
  <c r="F1788" i="28"/>
  <c r="G1788" i="28"/>
  <c r="B1794" i="28"/>
  <c r="C1794" i="28"/>
  <c r="D1794" i="28"/>
  <c r="E1794" i="28"/>
  <c r="F1794" i="28"/>
  <c r="G1794" i="28"/>
  <c r="B1795" i="28"/>
  <c r="C1795" i="28"/>
  <c r="D1795" i="28"/>
  <c r="E1795" i="28"/>
  <c r="F1795" i="28"/>
  <c r="G1795" i="28"/>
  <c r="B1798" i="28"/>
  <c r="C1798" i="28"/>
  <c r="D1798" i="28"/>
  <c r="E1798" i="28"/>
  <c r="F1798" i="28"/>
  <c r="G1798" i="28"/>
  <c r="B1799" i="28"/>
  <c r="C1799" i="28"/>
  <c r="D1799" i="28"/>
  <c r="E1799" i="28"/>
  <c r="F1799" i="28"/>
  <c r="G1799" i="28"/>
  <c r="B1800" i="28"/>
  <c r="C1800" i="28"/>
  <c r="D1800" i="28"/>
  <c r="E1800" i="28"/>
  <c r="F1800" i="28"/>
  <c r="G1800" i="28"/>
  <c r="B1801" i="28"/>
  <c r="C1801" i="28"/>
  <c r="D1801" i="28"/>
  <c r="E1801" i="28"/>
  <c r="F1801" i="28"/>
  <c r="G1801" i="28"/>
  <c r="B1802" i="28"/>
  <c r="C1802" i="28"/>
  <c r="D1802" i="28"/>
  <c r="E1802" i="28"/>
  <c r="F1802" i="28"/>
  <c r="G1802" i="28"/>
  <c r="B1803" i="28"/>
  <c r="C1803" i="28"/>
  <c r="D1803" i="28"/>
  <c r="E1803" i="28"/>
  <c r="F1803" i="28"/>
  <c r="G1803" i="28"/>
  <c r="B1804" i="28"/>
  <c r="C1804" i="28"/>
  <c r="D1804" i="28"/>
  <c r="E1804" i="28"/>
  <c r="F1804" i="28"/>
  <c r="G1804" i="28"/>
  <c r="B1805" i="28"/>
  <c r="C1805" i="28"/>
  <c r="D1805" i="28"/>
  <c r="E1805" i="28"/>
  <c r="F1805" i="28"/>
  <c r="G1805" i="28"/>
  <c r="B1806" i="28"/>
  <c r="C1806" i="28"/>
  <c r="D1806" i="28"/>
  <c r="E1806" i="28"/>
  <c r="F1806" i="28"/>
  <c r="G1806" i="28"/>
  <c r="B1807" i="28"/>
  <c r="C1807" i="28"/>
  <c r="D1807" i="28"/>
  <c r="E1807" i="28"/>
  <c r="F1807" i="28"/>
  <c r="G1807" i="28"/>
  <c r="B1808" i="28"/>
  <c r="C1808" i="28"/>
  <c r="D1808" i="28"/>
  <c r="E1808" i="28"/>
  <c r="F1808" i="28"/>
  <c r="G1808" i="28"/>
  <c r="B1809" i="28"/>
  <c r="C1809" i="28"/>
  <c r="D1809" i="28"/>
  <c r="E1809" i="28"/>
  <c r="F1809" i="28"/>
  <c r="G1809" i="28"/>
  <c r="B1810" i="28"/>
  <c r="C1810" i="28"/>
  <c r="D1810" i="28"/>
  <c r="E1810" i="28"/>
  <c r="F1810" i="28"/>
  <c r="G1810" i="28"/>
  <c r="B1811" i="28"/>
  <c r="C1811" i="28"/>
  <c r="D1811" i="28"/>
  <c r="E1811" i="28"/>
  <c r="F1811" i="28"/>
  <c r="G1811" i="28"/>
  <c r="B1812" i="28"/>
  <c r="C1812" i="28"/>
  <c r="D1812" i="28"/>
  <c r="E1812" i="28"/>
  <c r="F1812" i="28"/>
  <c r="G1812" i="28"/>
  <c r="B1813" i="28"/>
  <c r="C1813" i="28"/>
  <c r="D1813" i="28"/>
  <c r="E1813" i="28"/>
  <c r="F1813" i="28"/>
  <c r="G1813" i="28"/>
  <c r="B1814" i="28"/>
  <c r="C1814" i="28"/>
  <c r="D1814" i="28"/>
  <c r="E1814" i="28"/>
  <c r="F1814" i="28"/>
  <c r="G1814" i="28"/>
  <c r="B1815" i="28"/>
  <c r="C1815" i="28"/>
  <c r="D1815" i="28"/>
  <c r="E1815" i="28"/>
  <c r="F1815" i="28"/>
  <c r="G1815" i="28"/>
  <c r="B1816" i="28"/>
  <c r="C1816" i="28"/>
  <c r="D1816" i="28"/>
  <c r="E1816" i="28"/>
  <c r="F1816" i="28"/>
  <c r="G1816" i="28"/>
  <c r="B1817" i="28"/>
  <c r="C1817" i="28"/>
  <c r="D1817" i="28"/>
  <c r="E1817" i="28"/>
  <c r="F1817" i="28"/>
  <c r="G1817" i="28"/>
  <c r="B1818" i="28"/>
  <c r="C1818" i="28"/>
  <c r="D1818" i="28"/>
  <c r="E1818" i="28"/>
  <c r="F1818" i="28"/>
  <c r="G1818" i="28"/>
  <c r="B1819" i="28"/>
  <c r="C1819" i="28"/>
  <c r="D1819" i="28"/>
  <c r="E1819" i="28"/>
  <c r="F1819" i="28"/>
  <c r="G1819" i="28"/>
  <c r="B1820" i="28"/>
  <c r="C1820" i="28"/>
  <c r="D1820" i="28"/>
  <c r="E1820" i="28"/>
  <c r="F1820" i="28"/>
  <c r="G1820" i="28"/>
  <c r="B1821" i="28"/>
  <c r="C1821" i="28"/>
  <c r="D1821" i="28"/>
  <c r="E1821" i="28"/>
  <c r="F1821" i="28"/>
  <c r="G1821" i="28"/>
  <c r="B1822" i="28"/>
  <c r="C1822" i="28"/>
  <c r="D1822" i="28"/>
  <c r="E1822" i="28"/>
  <c r="F1822" i="28"/>
  <c r="G1822" i="28"/>
  <c r="B1823" i="28"/>
  <c r="C1823" i="28"/>
  <c r="D1823" i="28"/>
  <c r="E1823" i="28"/>
  <c r="F1823" i="28"/>
  <c r="G1823" i="28"/>
  <c r="B1824" i="28"/>
  <c r="C1824" i="28"/>
  <c r="D1824" i="28"/>
  <c r="E1824" i="28"/>
  <c r="F1824" i="28"/>
  <c r="G1824" i="28"/>
  <c r="B1825" i="28"/>
  <c r="C1825" i="28"/>
  <c r="D1825" i="28"/>
  <c r="E1825" i="28"/>
  <c r="F1825" i="28"/>
  <c r="G1825" i="28"/>
  <c r="B1826" i="28"/>
  <c r="C1826" i="28"/>
  <c r="D1826" i="28"/>
  <c r="E1826" i="28"/>
  <c r="F1826" i="28"/>
  <c r="G1826" i="28"/>
  <c r="B1827" i="28"/>
  <c r="C1827" i="28"/>
  <c r="D1827" i="28"/>
  <c r="E1827" i="28"/>
  <c r="F1827" i="28"/>
  <c r="G1827" i="28"/>
  <c r="B1828" i="28"/>
  <c r="C1828" i="28"/>
  <c r="D1828" i="28"/>
  <c r="E1828" i="28"/>
  <c r="F1828" i="28"/>
  <c r="G1828" i="28"/>
  <c r="B1829" i="28"/>
  <c r="C1829" i="28"/>
  <c r="D1829" i="28"/>
  <c r="E1829" i="28"/>
  <c r="F1829" i="28"/>
  <c r="G1829" i="28"/>
  <c r="B1854" i="28"/>
  <c r="C1854" i="28"/>
  <c r="D1854" i="28"/>
  <c r="E1854" i="28"/>
  <c r="F1854" i="28"/>
  <c r="G1854" i="28"/>
  <c r="B1855" i="28"/>
  <c r="C1855" i="28"/>
  <c r="D1855" i="28"/>
  <c r="E1855" i="28"/>
  <c r="F1855" i="28"/>
  <c r="G1855" i="28"/>
  <c r="B1862" i="28"/>
  <c r="C1862" i="28"/>
  <c r="D1862" i="28"/>
  <c r="E1862" i="28"/>
  <c r="B1863" i="28"/>
  <c r="J2" i="24" s="1"/>
  <c r="C1863" i="28"/>
  <c r="J9" i="24" s="1"/>
  <c r="D1863" i="28"/>
  <c r="J16" i="24" s="1"/>
  <c r="E1863" i="28"/>
  <c r="J23" i="24" s="1"/>
  <c r="B1864" i="28"/>
  <c r="C1864" i="28"/>
  <c r="D1864" i="28"/>
  <c r="E1864" i="28"/>
  <c r="B1865" i="28"/>
  <c r="C1865" i="28"/>
  <c r="D1865" i="28"/>
  <c r="E1865" i="28"/>
  <c r="B1868" i="28"/>
  <c r="C1868" i="28"/>
  <c r="D1868" i="28"/>
  <c r="E1868" i="28"/>
  <c r="B1871" i="28"/>
  <c r="C1871" i="28"/>
  <c r="D1871" i="28"/>
  <c r="E1871" i="28"/>
  <c r="B1876" i="28"/>
  <c r="C1876" i="28"/>
  <c r="D1876" i="28"/>
  <c r="E1876" i="28"/>
  <c r="B1880" i="28"/>
  <c r="B1881" i="28"/>
  <c r="G19" i="20" s="1"/>
  <c r="B1882" i="28"/>
  <c r="B1883" i="28"/>
  <c r="B1890" i="28"/>
  <c r="C1890" i="28"/>
  <c r="D1890" i="28"/>
  <c r="E1890" i="28"/>
  <c r="F1890" i="28"/>
  <c r="G1890" i="28"/>
  <c r="B1903" i="28"/>
  <c r="C1903" i="28"/>
  <c r="D1903" i="28"/>
  <c r="E1903" i="28"/>
  <c r="F1903" i="28"/>
  <c r="G1903" i="28"/>
  <c r="B1905" i="28"/>
  <c r="C1905" i="28"/>
  <c r="D1905" i="28"/>
  <c r="E1905" i="28"/>
  <c r="F1905" i="28"/>
  <c r="G1905" i="28"/>
  <c r="B1910" i="28"/>
  <c r="C1910" i="28"/>
  <c r="D1910" i="28"/>
  <c r="E1910" i="28"/>
  <c r="F1910" i="28"/>
  <c r="G1910" i="28"/>
  <c r="B1911" i="28"/>
  <c r="C1911" i="28"/>
  <c r="D1911" i="28"/>
  <c r="E1911" i="28"/>
  <c r="F1911" i="28"/>
  <c r="G1911" i="28"/>
  <c r="B1924" i="28"/>
  <c r="C1924" i="28"/>
  <c r="D1924" i="28"/>
  <c r="E1924" i="28"/>
  <c r="F1924" i="28"/>
  <c r="G1924" i="28"/>
  <c r="B1925" i="28"/>
  <c r="C1925" i="28"/>
  <c r="D1925" i="28"/>
  <c r="E1925" i="28"/>
  <c r="F1925" i="28"/>
  <c r="G1925" i="28"/>
  <c r="B1930" i="28"/>
  <c r="C1930" i="28"/>
  <c r="D1930" i="28"/>
  <c r="E1930" i="28"/>
  <c r="F1930" i="28"/>
  <c r="G1930" i="28"/>
  <c r="B1943" i="28"/>
  <c r="C1943" i="28"/>
  <c r="D1943" i="28"/>
  <c r="E1943" i="28"/>
  <c r="F1943" i="28"/>
  <c r="G1943" i="28"/>
  <c r="B1945" i="28"/>
  <c r="C1945" i="28"/>
  <c r="D1945" i="28"/>
  <c r="E1945" i="28"/>
  <c r="F1945" i="28"/>
  <c r="G1945" i="28"/>
  <c r="B1946" i="28"/>
  <c r="C1946" i="28"/>
  <c r="D1946" i="28"/>
  <c r="E1946" i="28"/>
  <c r="F1946" i="28"/>
  <c r="G1946" i="28"/>
  <c r="B1951" i="28"/>
  <c r="C1951" i="28"/>
  <c r="D1951" i="28"/>
  <c r="E1951" i="28"/>
  <c r="F1951" i="28"/>
  <c r="G1951" i="28"/>
  <c r="B1952" i="28"/>
  <c r="C1952" i="28"/>
  <c r="D1952" i="28"/>
  <c r="E1952" i="28"/>
  <c r="F1952" i="28"/>
  <c r="G1952" i="28"/>
  <c r="B1965" i="28"/>
  <c r="C1965" i="28"/>
  <c r="D1965" i="28"/>
  <c r="E1965" i="28"/>
  <c r="F1965" i="28"/>
  <c r="G1965" i="28"/>
  <c r="B1966" i="28"/>
  <c r="C1966" i="28"/>
  <c r="D1966" i="28"/>
  <c r="E1966" i="28"/>
  <c r="F1966" i="28"/>
  <c r="G1966" i="28"/>
  <c r="B2009" i="28"/>
  <c r="C2009" i="28"/>
  <c r="D2009" i="28"/>
  <c r="E2009" i="28"/>
  <c r="F2009" i="28"/>
  <c r="G2009" i="28"/>
  <c r="H2009" i="28"/>
  <c r="I2009" i="28"/>
  <c r="J2009" i="28"/>
  <c r="K2009" i="28"/>
  <c r="L2009" i="28"/>
  <c r="M2009" i="28"/>
  <c r="N2009" i="28"/>
  <c r="O2009" i="28"/>
  <c r="P2009" i="28"/>
  <c r="Q2009" i="28"/>
  <c r="R2009" i="28"/>
  <c r="S2009" i="28"/>
  <c r="T2009" i="28"/>
  <c r="U2009" i="28"/>
  <c r="V2009" i="28"/>
  <c r="W2009" i="28"/>
  <c r="X2009" i="28"/>
  <c r="Y2009" i="28"/>
  <c r="Z2009" i="28"/>
  <c r="AA2009" i="28"/>
  <c r="AB2009" i="28"/>
  <c r="AC2009" i="28"/>
  <c r="AD2009" i="28"/>
  <c r="AE2009" i="28"/>
  <c r="AF2009" i="28"/>
  <c r="AG2009" i="28"/>
  <c r="B2010" i="28"/>
  <c r="C2010" i="28"/>
  <c r="D2010" i="28"/>
  <c r="E2010" i="28"/>
  <c r="F2010" i="28"/>
  <c r="G2010" i="28"/>
  <c r="H2010" i="28"/>
  <c r="I2010" i="28"/>
  <c r="J2010" i="28"/>
  <c r="K2010" i="28"/>
  <c r="L2010" i="28"/>
  <c r="M2010" i="28"/>
  <c r="N2010" i="28"/>
  <c r="O2010" i="28"/>
  <c r="P2010" i="28"/>
  <c r="Q2010" i="28"/>
  <c r="R2010" i="28"/>
  <c r="S2010" i="28"/>
  <c r="T2010" i="28"/>
  <c r="U2010" i="28"/>
  <c r="V2010" i="28"/>
  <c r="W2010" i="28"/>
  <c r="X2010" i="28"/>
  <c r="Y2010" i="28"/>
  <c r="Z2010" i="28"/>
  <c r="AA2010" i="28"/>
  <c r="AB2010" i="28"/>
  <c r="AC2010" i="28"/>
  <c r="AD2010" i="28"/>
  <c r="AE2010" i="28"/>
  <c r="AF2010" i="28"/>
  <c r="AG2010" i="28"/>
  <c r="B2011" i="28"/>
  <c r="C2011" i="28"/>
  <c r="D2011" i="28"/>
  <c r="E2011" i="28"/>
  <c r="F2011" i="28"/>
  <c r="G2011" i="28"/>
  <c r="H2011" i="28"/>
  <c r="I2011" i="28"/>
  <c r="J2011" i="28"/>
  <c r="K2011" i="28"/>
  <c r="L2011" i="28"/>
  <c r="M2011" i="28"/>
  <c r="N2011" i="28"/>
  <c r="O2011" i="28"/>
  <c r="P2011" i="28"/>
  <c r="Q2011" i="28"/>
  <c r="R2011" i="28"/>
  <c r="S2011" i="28"/>
  <c r="T2011" i="28"/>
  <c r="U2011" i="28"/>
  <c r="V2011" i="28"/>
  <c r="W2011" i="28"/>
  <c r="X2011" i="28"/>
  <c r="Y2011" i="28"/>
  <c r="Z2011" i="28"/>
  <c r="AA2011" i="28"/>
  <c r="AB2011" i="28"/>
  <c r="AC2011" i="28"/>
  <c r="AD2011" i="28"/>
  <c r="AE2011" i="28"/>
  <c r="AF2011" i="28"/>
  <c r="AG2011" i="28"/>
  <c r="B2012" i="28"/>
  <c r="C2012" i="28"/>
  <c r="D2012" i="28"/>
  <c r="E2012" i="28"/>
  <c r="F2012" i="28"/>
  <c r="G2012" i="28"/>
  <c r="H2012" i="28"/>
  <c r="I2012" i="28"/>
  <c r="J2012" i="28"/>
  <c r="K2012" i="28"/>
  <c r="L2012" i="28"/>
  <c r="M2012" i="28"/>
  <c r="N2012" i="28"/>
  <c r="O2012" i="28"/>
  <c r="P2012" i="28"/>
  <c r="Q2012" i="28"/>
  <c r="R2012" i="28"/>
  <c r="S2012" i="28"/>
  <c r="T2012" i="28"/>
  <c r="U2012" i="28"/>
  <c r="V2012" i="28"/>
  <c r="W2012" i="28"/>
  <c r="X2012" i="28"/>
  <c r="Y2012" i="28"/>
  <c r="Z2012" i="28"/>
  <c r="AA2012" i="28"/>
  <c r="AB2012" i="28"/>
  <c r="AC2012" i="28"/>
  <c r="AD2012" i="28"/>
  <c r="AE2012" i="28"/>
  <c r="AF2012" i="28"/>
  <c r="AG2012" i="28"/>
  <c r="B2013" i="28"/>
  <c r="C2013" i="28"/>
  <c r="D2013" i="28"/>
  <c r="E2013" i="28"/>
  <c r="F2013" i="28"/>
  <c r="G2013" i="28"/>
  <c r="H2013" i="28"/>
  <c r="I2013" i="28"/>
  <c r="J2013" i="28"/>
  <c r="K2013" i="28"/>
  <c r="L2013" i="28"/>
  <c r="M2013" i="28"/>
  <c r="N2013" i="28"/>
  <c r="O2013" i="28"/>
  <c r="P2013" i="28"/>
  <c r="Q2013" i="28"/>
  <c r="R2013" i="28"/>
  <c r="S2013" i="28"/>
  <c r="T2013" i="28"/>
  <c r="U2013" i="28"/>
  <c r="V2013" i="28"/>
  <c r="W2013" i="28"/>
  <c r="X2013" i="28"/>
  <c r="Y2013" i="28"/>
  <c r="Z2013" i="28"/>
  <c r="AA2013" i="28"/>
  <c r="AB2013" i="28"/>
  <c r="AC2013" i="28"/>
  <c r="AD2013" i="28"/>
  <c r="AE2013" i="28"/>
  <c r="AF2013" i="28"/>
  <c r="AG2013" i="28"/>
  <c r="B2014" i="28"/>
  <c r="C2014" i="28"/>
  <c r="D2014" i="28"/>
  <c r="E2014" i="28"/>
  <c r="F2014" i="28"/>
  <c r="G2014" i="28"/>
  <c r="H2014" i="28"/>
  <c r="I2014" i="28"/>
  <c r="J2014" i="28"/>
  <c r="K2014" i="28"/>
  <c r="L2014" i="28"/>
  <c r="M2014" i="28"/>
  <c r="N2014" i="28"/>
  <c r="O2014" i="28"/>
  <c r="P2014" i="28"/>
  <c r="Q2014" i="28"/>
  <c r="R2014" i="28"/>
  <c r="S2014" i="28"/>
  <c r="T2014" i="28"/>
  <c r="U2014" i="28"/>
  <c r="V2014" i="28"/>
  <c r="W2014" i="28"/>
  <c r="X2014" i="28"/>
  <c r="Y2014" i="28"/>
  <c r="Z2014" i="28"/>
  <c r="AA2014" i="28"/>
  <c r="AB2014" i="28"/>
  <c r="AC2014" i="28"/>
  <c r="AD2014" i="28"/>
  <c r="AE2014" i="28"/>
  <c r="AF2014" i="28"/>
  <c r="AG2014" i="28"/>
  <c r="B2015" i="28"/>
  <c r="C2015" i="28"/>
  <c r="D2015" i="28"/>
  <c r="E2015" i="28"/>
  <c r="F2015" i="28"/>
  <c r="G2015" i="28"/>
  <c r="H2015" i="28"/>
  <c r="I2015" i="28"/>
  <c r="J2015" i="28"/>
  <c r="K2015" i="28"/>
  <c r="L2015" i="28"/>
  <c r="M2015" i="28"/>
  <c r="N2015" i="28"/>
  <c r="O2015" i="28"/>
  <c r="P2015" i="28"/>
  <c r="Q2015" i="28"/>
  <c r="R2015" i="28"/>
  <c r="S2015" i="28"/>
  <c r="T2015" i="28"/>
  <c r="U2015" i="28"/>
  <c r="V2015" i="28"/>
  <c r="W2015" i="28"/>
  <c r="X2015" i="28"/>
  <c r="Y2015" i="28"/>
  <c r="Z2015" i="28"/>
  <c r="AA2015" i="28"/>
  <c r="AB2015" i="28"/>
  <c r="AC2015" i="28"/>
  <c r="AD2015" i="28"/>
  <c r="AE2015" i="28"/>
  <c r="AF2015" i="28"/>
  <c r="AG2015" i="28"/>
  <c r="B2016" i="28"/>
  <c r="C2016" i="28"/>
  <c r="D2016" i="28"/>
  <c r="E2016" i="28"/>
  <c r="F2016" i="28"/>
  <c r="G2016" i="28"/>
  <c r="H2016" i="28"/>
  <c r="I2016" i="28"/>
  <c r="J2016" i="28"/>
  <c r="K2016" i="28"/>
  <c r="L2016" i="28"/>
  <c r="M2016" i="28"/>
  <c r="N2016" i="28"/>
  <c r="O2016" i="28"/>
  <c r="P2016" i="28"/>
  <c r="Q2016" i="28"/>
  <c r="R2016" i="28"/>
  <c r="S2016" i="28"/>
  <c r="T2016" i="28"/>
  <c r="U2016" i="28"/>
  <c r="V2016" i="28"/>
  <c r="W2016" i="28"/>
  <c r="X2016" i="28"/>
  <c r="Y2016" i="28"/>
  <c r="Z2016" i="28"/>
  <c r="AA2016" i="28"/>
  <c r="AB2016" i="28"/>
  <c r="AC2016" i="28"/>
  <c r="AD2016" i="28"/>
  <c r="AE2016" i="28"/>
  <c r="AF2016" i="28"/>
  <c r="AG2016" i="28"/>
  <c r="B2017" i="28"/>
  <c r="C2017" i="28"/>
  <c r="D2017" i="28"/>
  <c r="E2017" i="28"/>
  <c r="F2017" i="28"/>
  <c r="G2017" i="28"/>
  <c r="H2017" i="28"/>
  <c r="I2017" i="28"/>
  <c r="J2017" i="28"/>
  <c r="K2017" i="28"/>
  <c r="L2017" i="28"/>
  <c r="M2017" i="28"/>
  <c r="N2017" i="28"/>
  <c r="O2017" i="28"/>
  <c r="P2017" i="28"/>
  <c r="Q2017" i="28"/>
  <c r="R2017" i="28"/>
  <c r="S2017" i="28"/>
  <c r="T2017" i="28"/>
  <c r="U2017" i="28"/>
  <c r="V2017" i="28"/>
  <c r="W2017" i="28"/>
  <c r="X2017" i="28"/>
  <c r="Y2017" i="28"/>
  <c r="Z2017" i="28"/>
  <c r="AA2017" i="28"/>
  <c r="AB2017" i="28"/>
  <c r="AC2017" i="28"/>
  <c r="AD2017" i="28"/>
  <c r="AE2017" i="28"/>
  <c r="AF2017" i="28"/>
  <c r="AG2017" i="28"/>
  <c r="B2018" i="28"/>
  <c r="C2018" i="28"/>
  <c r="D2018" i="28"/>
  <c r="E2018" i="28"/>
  <c r="F2018" i="28"/>
  <c r="G2018" i="28"/>
  <c r="H2018" i="28"/>
  <c r="I2018" i="28"/>
  <c r="J2018" i="28"/>
  <c r="K2018" i="28"/>
  <c r="L2018" i="28"/>
  <c r="M2018" i="28"/>
  <c r="N2018" i="28"/>
  <c r="O2018" i="28"/>
  <c r="P2018" i="28"/>
  <c r="Q2018" i="28"/>
  <c r="R2018" i="28"/>
  <c r="S2018" i="28"/>
  <c r="T2018" i="28"/>
  <c r="U2018" i="28"/>
  <c r="V2018" i="28"/>
  <c r="W2018" i="28"/>
  <c r="X2018" i="28"/>
  <c r="Y2018" i="28"/>
  <c r="Z2018" i="28"/>
  <c r="AA2018" i="28"/>
  <c r="AB2018" i="28"/>
  <c r="AC2018" i="28"/>
  <c r="AD2018" i="28"/>
  <c r="AE2018" i="28"/>
  <c r="AF2018" i="28"/>
  <c r="AG2018" i="28"/>
  <c r="B2019" i="28"/>
  <c r="C2019" i="28"/>
  <c r="D2019" i="28"/>
  <c r="E2019" i="28"/>
  <c r="F2019" i="28"/>
  <c r="G2019" i="28"/>
  <c r="H2019" i="28"/>
  <c r="I2019" i="28"/>
  <c r="J2019" i="28"/>
  <c r="K2019" i="28"/>
  <c r="L2019" i="28"/>
  <c r="M2019" i="28"/>
  <c r="N2019" i="28"/>
  <c r="O2019" i="28"/>
  <c r="P2019" i="28"/>
  <c r="Q2019" i="28"/>
  <c r="R2019" i="28"/>
  <c r="S2019" i="28"/>
  <c r="T2019" i="28"/>
  <c r="U2019" i="28"/>
  <c r="V2019" i="28"/>
  <c r="W2019" i="28"/>
  <c r="X2019" i="28"/>
  <c r="Y2019" i="28"/>
  <c r="Z2019" i="28"/>
  <c r="AA2019" i="28"/>
  <c r="AB2019" i="28"/>
  <c r="AC2019" i="28"/>
  <c r="AD2019" i="28"/>
  <c r="AE2019" i="28"/>
  <c r="AF2019" i="28"/>
  <c r="AG2019" i="28"/>
  <c r="B2020" i="28"/>
  <c r="C2020" i="28"/>
  <c r="D2020" i="28"/>
  <c r="E2020" i="28"/>
  <c r="F2020" i="28"/>
  <c r="G2020" i="28"/>
  <c r="H2020" i="28"/>
  <c r="I2020" i="28"/>
  <c r="J2020" i="28"/>
  <c r="K2020" i="28"/>
  <c r="L2020" i="28"/>
  <c r="M2020" i="28"/>
  <c r="N2020" i="28"/>
  <c r="O2020" i="28"/>
  <c r="P2020" i="28"/>
  <c r="Q2020" i="28"/>
  <c r="R2020" i="28"/>
  <c r="S2020" i="28"/>
  <c r="T2020" i="28"/>
  <c r="U2020" i="28"/>
  <c r="V2020" i="28"/>
  <c r="W2020" i="28"/>
  <c r="X2020" i="28"/>
  <c r="Y2020" i="28"/>
  <c r="Z2020" i="28"/>
  <c r="AA2020" i="28"/>
  <c r="AB2020" i="28"/>
  <c r="AC2020" i="28"/>
  <c r="AD2020" i="28"/>
  <c r="AE2020" i="28"/>
  <c r="AF2020" i="28"/>
  <c r="AG2020" i="28"/>
  <c r="B2021" i="28"/>
  <c r="C2021" i="28"/>
  <c r="D2021" i="28"/>
  <c r="E2021" i="28"/>
  <c r="F2021" i="28"/>
  <c r="G2021" i="28"/>
  <c r="H2021" i="28"/>
  <c r="I2021" i="28"/>
  <c r="J2021" i="28"/>
  <c r="K2021" i="28"/>
  <c r="L2021" i="28"/>
  <c r="M2021" i="28"/>
  <c r="N2021" i="28"/>
  <c r="O2021" i="28"/>
  <c r="P2021" i="28"/>
  <c r="Q2021" i="28"/>
  <c r="R2021" i="28"/>
  <c r="S2021" i="28"/>
  <c r="T2021" i="28"/>
  <c r="U2021" i="28"/>
  <c r="V2021" i="28"/>
  <c r="W2021" i="28"/>
  <c r="X2021" i="28"/>
  <c r="Y2021" i="28"/>
  <c r="Z2021" i="28"/>
  <c r="AA2021" i="28"/>
  <c r="AB2021" i="28"/>
  <c r="AC2021" i="28"/>
  <c r="AD2021" i="28"/>
  <c r="AE2021" i="28"/>
  <c r="AF2021" i="28"/>
  <c r="AG2021" i="28"/>
  <c r="B2022" i="28"/>
  <c r="C2022" i="28"/>
  <c r="D2022" i="28"/>
  <c r="E2022" i="28"/>
  <c r="F2022" i="28"/>
  <c r="G2022" i="28"/>
  <c r="H2022" i="28"/>
  <c r="I2022" i="28"/>
  <c r="J2022" i="28"/>
  <c r="K2022" i="28"/>
  <c r="L2022" i="28"/>
  <c r="M2022" i="28"/>
  <c r="N2022" i="28"/>
  <c r="O2022" i="28"/>
  <c r="P2022" i="28"/>
  <c r="Q2022" i="28"/>
  <c r="R2022" i="28"/>
  <c r="S2022" i="28"/>
  <c r="T2022" i="28"/>
  <c r="U2022" i="28"/>
  <c r="V2022" i="28"/>
  <c r="W2022" i="28"/>
  <c r="X2022" i="28"/>
  <c r="Y2022" i="28"/>
  <c r="Z2022" i="28"/>
  <c r="AA2022" i="28"/>
  <c r="AB2022" i="28"/>
  <c r="AC2022" i="28"/>
  <c r="AD2022" i="28"/>
  <c r="AE2022" i="28"/>
  <c r="AF2022" i="28"/>
  <c r="AG2022" i="28"/>
  <c r="B2023" i="28"/>
  <c r="C2023" i="28"/>
  <c r="D2023" i="28"/>
  <c r="E2023" i="28"/>
  <c r="F2023" i="28"/>
  <c r="G2023" i="28"/>
  <c r="H2023" i="28"/>
  <c r="I2023" i="28"/>
  <c r="J2023" i="28"/>
  <c r="K2023" i="28"/>
  <c r="L2023" i="28"/>
  <c r="M2023" i="28"/>
  <c r="N2023" i="28"/>
  <c r="O2023" i="28"/>
  <c r="P2023" i="28"/>
  <c r="Q2023" i="28"/>
  <c r="R2023" i="28"/>
  <c r="S2023" i="28"/>
  <c r="T2023" i="28"/>
  <c r="U2023" i="28"/>
  <c r="V2023" i="28"/>
  <c r="W2023" i="28"/>
  <c r="X2023" i="28"/>
  <c r="Y2023" i="28"/>
  <c r="Z2023" i="28"/>
  <c r="AA2023" i="28"/>
  <c r="AB2023" i="28"/>
  <c r="AC2023" i="28"/>
  <c r="AD2023" i="28"/>
  <c r="AE2023" i="28"/>
  <c r="AF2023" i="28"/>
  <c r="AG2023" i="28"/>
  <c r="B2024" i="28"/>
  <c r="C2024" i="28"/>
  <c r="D2024" i="28"/>
  <c r="E2024" i="28"/>
  <c r="F2024" i="28"/>
  <c r="G2024" i="28"/>
  <c r="H2024" i="28"/>
  <c r="I2024" i="28"/>
  <c r="J2024" i="28"/>
  <c r="K2024" i="28"/>
  <c r="L2024" i="28"/>
  <c r="M2024" i="28"/>
  <c r="N2024" i="28"/>
  <c r="O2024" i="28"/>
  <c r="P2024" i="28"/>
  <c r="Q2024" i="28"/>
  <c r="R2024" i="28"/>
  <c r="S2024" i="28"/>
  <c r="T2024" i="28"/>
  <c r="U2024" i="28"/>
  <c r="V2024" i="28"/>
  <c r="W2024" i="28"/>
  <c r="X2024" i="28"/>
  <c r="Y2024" i="28"/>
  <c r="Z2024" i="28"/>
  <c r="AA2024" i="28"/>
  <c r="AB2024" i="28"/>
  <c r="AC2024" i="28"/>
  <c r="AD2024" i="28"/>
  <c r="AE2024" i="28"/>
  <c r="AF2024" i="28"/>
  <c r="AG2024" i="28"/>
  <c r="B2025" i="28"/>
  <c r="C2025" i="28"/>
  <c r="D2025" i="28"/>
  <c r="E2025" i="28"/>
  <c r="F2025" i="28"/>
  <c r="G2025" i="28"/>
  <c r="H2025" i="28"/>
  <c r="I2025" i="28"/>
  <c r="J2025" i="28"/>
  <c r="K2025" i="28"/>
  <c r="L2025" i="28"/>
  <c r="M2025" i="28"/>
  <c r="N2025" i="28"/>
  <c r="O2025" i="28"/>
  <c r="P2025" i="28"/>
  <c r="Q2025" i="28"/>
  <c r="R2025" i="28"/>
  <c r="S2025" i="28"/>
  <c r="T2025" i="28"/>
  <c r="U2025" i="28"/>
  <c r="V2025" i="28"/>
  <c r="W2025" i="28"/>
  <c r="X2025" i="28"/>
  <c r="Y2025" i="28"/>
  <c r="Z2025" i="28"/>
  <c r="AA2025" i="28"/>
  <c r="AB2025" i="28"/>
  <c r="AC2025" i="28"/>
  <c r="AD2025" i="28"/>
  <c r="AE2025" i="28"/>
  <c r="AF2025" i="28"/>
  <c r="AG2025" i="28"/>
  <c r="B2026" i="28"/>
  <c r="C2026" i="28"/>
  <c r="D2026" i="28"/>
  <c r="E2026" i="28"/>
  <c r="F2026" i="28"/>
  <c r="G2026" i="28"/>
  <c r="H2026" i="28"/>
  <c r="I2026" i="28"/>
  <c r="J2026" i="28"/>
  <c r="K2026" i="28"/>
  <c r="L2026" i="28"/>
  <c r="M2026" i="28"/>
  <c r="N2026" i="28"/>
  <c r="O2026" i="28"/>
  <c r="P2026" i="28"/>
  <c r="Q2026" i="28"/>
  <c r="R2026" i="28"/>
  <c r="S2026" i="28"/>
  <c r="T2026" i="28"/>
  <c r="U2026" i="28"/>
  <c r="V2026" i="28"/>
  <c r="W2026" i="28"/>
  <c r="X2026" i="28"/>
  <c r="Y2026" i="28"/>
  <c r="Z2026" i="28"/>
  <c r="AA2026" i="28"/>
  <c r="AB2026" i="28"/>
  <c r="AC2026" i="28"/>
  <c r="AD2026" i="28"/>
  <c r="AE2026" i="28"/>
  <c r="AF2026" i="28"/>
  <c r="AG2026" i="28"/>
  <c r="B2027" i="28"/>
  <c r="C2027" i="28"/>
  <c r="D2027" i="28"/>
  <c r="E2027" i="28"/>
  <c r="F2027" i="28"/>
  <c r="G2027" i="28"/>
  <c r="H2027" i="28"/>
  <c r="I2027" i="28"/>
  <c r="J2027" i="28"/>
  <c r="K2027" i="28"/>
  <c r="L2027" i="28"/>
  <c r="M2027" i="28"/>
  <c r="N2027" i="28"/>
  <c r="O2027" i="28"/>
  <c r="P2027" i="28"/>
  <c r="Q2027" i="28"/>
  <c r="R2027" i="28"/>
  <c r="S2027" i="28"/>
  <c r="T2027" i="28"/>
  <c r="U2027" i="28"/>
  <c r="V2027" i="28"/>
  <c r="W2027" i="28"/>
  <c r="X2027" i="28"/>
  <c r="Y2027" i="28"/>
  <c r="Z2027" i="28"/>
  <c r="AA2027" i="28"/>
  <c r="AB2027" i="28"/>
  <c r="AC2027" i="28"/>
  <c r="AD2027" i="28"/>
  <c r="AE2027" i="28"/>
  <c r="AF2027" i="28"/>
  <c r="AG2027" i="28"/>
  <c r="B2028" i="28"/>
  <c r="C2028" i="28"/>
  <c r="D2028" i="28"/>
  <c r="E2028" i="28"/>
  <c r="F2028" i="28"/>
  <c r="G2028" i="28"/>
  <c r="H2028" i="28"/>
  <c r="I2028" i="28"/>
  <c r="J2028" i="28"/>
  <c r="K2028" i="28"/>
  <c r="L2028" i="28"/>
  <c r="M2028" i="28"/>
  <c r="N2028" i="28"/>
  <c r="O2028" i="28"/>
  <c r="P2028" i="28"/>
  <c r="Q2028" i="28"/>
  <c r="R2028" i="28"/>
  <c r="S2028" i="28"/>
  <c r="T2028" i="28"/>
  <c r="U2028" i="28"/>
  <c r="V2028" i="28"/>
  <c r="W2028" i="28"/>
  <c r="X2028" i="28"/>
  <c r="Y2028" i="28"/>
  <c r="Z2028" i="28"/>
  <c r="AA2028" i="28"/>
  <c r="AB2028" i="28"/>
  <c r="AC2028" i="28"/>
  <c r="AD2028" i="28"/>
  <c r="AE2028" i="28"/>
  <c r="AF2028" i="28"/>
  <c r="AG2028" i="28"/>
  <c r="B2029" i="28"/>
  <c r="C2029" i="28"/>
  <c r="D2029" i="28"/>
  <c r="E2029" i="28"/>
  <c r="F2029" i="28"/>
  <c r="G2029" i="28"/>
  <c r="H2029" i="28"/>
  <c r="I2029" i="28"/>
  <c r="J2029" i="28"/>
  <c r="K2029" i="28"/>
  <c r="L2029" i="28"/>
  <c r="M2029" i="28"/>
  <c r="N2029" i="28"/>
  <c r="O2029" i="28"/>
  <c r="P2029" i="28"/>
  <c r="Q2029" i="28"/>
  <c r="R2029" i="28"/>
  <c r="S2029" i="28"/>
  <c r="T2029" i="28"/>
  <c r="U2029" i="28"/>
  <c r="V2029" i="28"/>
  <c r="W2029" i="28"/>
  <c r="X2029" i="28"/>
  <c r="Y2029" i="28"/>
  <c r="Z2029" i="28"/>
  <c r="AA2029" i="28"/>
  <c r="AB2029" i="28"/>
  <c r="AC2029" i="28"/>
  <c r="AD2029" i="28"/>
  <c r="AE2029" i="28"/>
  <c r="AF2029" i="28"/>
  <c r="AG2029" i="28"/>
  <c r="B2030" i="28"/>
  <c r="C2030" i="28"/>
  <c r="D2030" i="28"/>
  <c r="E2030" i="28"/>
  <c r="F2030" i="28"/>
  <c r="G2030" i="28"/>
  <c r="H2030" i="28"/>
  <c r="I2030" i="28"/>
  <c r="J2030" i="28"/>
  <c r="K2030" i="28"/>
  <c r="L2030" i="28"/>
  <c r="M2030" i="28"/>
  <c r="N2030" i="28"/>
  <c r="O2030" i="28"/>
  <c r="P2030" i="28"/>
  <c r="Q2030" i="28"/>
  <c r="R2030" i="28"/>
  <c r="S2030" i="28"/>
  <c r="T2030" i="28"/>
  <c r="U2030" i="28"/>
  <c r="V2030" i="28"/>
  <c r="W2030" i="28"/>
  <c r="X2030" i="28"/>
  <c r="Y2030" i="28"/>
  <c r="Z2030" i="28"/>
  <c r="AA2030" i="28"/>
  <c r="AB2030" i="28"/>
  <c r="AC2030" i="28"/>
  <c r="AD2030" i="28"/>
  <c r="AE2030" i="28"/>
  <c r="AF2030" i="28"/>
  <c r="AG2030" i="28"/>
  <c r="B2031" i="28"/>
  <c r="C2031" i="28"/>
  <c r="D2031" i="28"/>
  <c r="E2031" i="28"/>
  <c r="F2031" i="28"/>
  <c r="G2031" i="28"/>
  <c r="H2031" i="28"/>
  <c r="I2031" i="28"/>
  <c r="J2031" i="28"/>
  <c r="K2031" i="28"/>
  <c r="L2031" i="28"/>
  <c r="M2031" i="28"/>
  <c r="N2031" i="28"/>
  <c r="O2031" i="28"/>
  <c r="P2031" i="28"/>
  <c r="Q2031" i="28"/>
  <c r="R2031" i="28"/>
  <c r="S2031" i="28"/>
  <c r="T2031" i="28"/>
  <c r="U2031" i="28"/>
  <c r="V2031" i="28"/>
  <c r="W2031" i="28"/>
  <c r="X2031" i="28"/>
  <c r="Y2031" i="28"/>
  <c r="Z2031" i="28"/>
  <c r="AA2031" i="28"/>
  <c r="AB2031" i="28"/>
  <c r="AC2031" i="28"/>
  <c r="AD2031" i="28"/>
  <c r="AE2031" i="28"/>
  <c r="AF2031" i="28"/>
  <c r="AG2031" i="28"/>
  <c r="B2032" i="28"/>
  <c r="C2032" i="28"/>
  <c r="D2032" i="28"/>
  <c r="E2032" i="28"/>
  <c r="F2032" i="28"/>
  <c r="G2032" i="28"/>
  <c r="H2032" i="28"/>
  <c r="I2032" i="28"/>
  <c r="J2032" i="28"/>
  <c r="K2032" i="28"/>
  <c r="L2032" i="28"/>
  <c r="M2032" i="28"/>
  <c r="N2032" i="28"/>
  <c r="O2032" i="28"/>
  <c r="P2032" i="28"/>
  <c r="Q2032" i="28"/>
  <c r="R2032" i="28"/>
  <c r="S2032" i="28"/>
  <c r="T2032" i="28"/>
  <c r="U2032" i="28"/>
  <c r="V2032" i="28"/>
  <c r="W2032" i="28"/>
  <c r="X2032" i="28"/>
  <c r="Y2032" i="28"/>
  <c r="Z2032" i="28"/>
  <c r="AA2032" i="28"/>
  <c r="AB2032" i="28"/>
  <c r="AC2032" i="28"/>
  <c r="AD2032" i="28"/>
  <c r="AE2032" i="28"/>
  <c r="AF2032" i="28"/>
  <c r="AG2032" i="28"/>
  <c r="B2033" i="28"/>
  <c r="C2033" i="28"/>
  <c r="D2033" i="28"/>
  <c r="E2033" i="28"/>
  <c r="F2033" i="28"/>
  <c r="G2033" i="28"/>
  <c r="H2033" i="28"/>
  <c r="I2033" i="28"/>
  <c r="J2033" i="28"/>
  <c r="K2033" i="28"/>
  <c r="L2033" i="28"/>
  <c r="M2033" i="28"/>
  <c r="N2033" i="28"/>
  <c r="O2033" i="28"/>
  <c r="P2033" i="28"/>
  <c r="Q2033" i="28"/>
  <c r="R2033" i="28"/>
  <c r="S2033" i="28"/>
  <c r="T2033" i="28"/>
  <c r="U2033" i="28"/>
  <c r="V2033" i="28"/>
  <c r="W2033" i="28"/>
  <c r="X2033" i="28"/>
  <c r="Y2033" i="28"/>
  <c r="Z2033" i="28"/>
  <c r="AA2033" i="28"/>
  <c r="AB2033" i="28"/>
  <c r="AC2033" i="28"/>
  <c r="AD2033" i="28"/>
  <c r="AE2033" i="28"/>
  <c r="AF2033" i="28"/>
  <c r="AG2033" i="28"/>
  <c r="B2034" i="28"/>
  <c r="C2034" i="28"/>
  <c r="D2034" i="28"/>
  <c r="E2034" i="28"/>
  <c r="F2034" i="28"/>
  <c r="G2034" i="28"/>
  <c r="H2034" i="28"/>
  <c r="I2034" i="28"/>
  <c r="J2034" i="28"/>
  <c r="K2034" i="28"/>
  <c r="L2034" i="28"/>
  <c r="M2034" i="28"/>
  <c r="N2034" i="28"/>
  <c r="O2034" i="28"/>
  <c r="P2034" i="28"/>
  <c r="Q2034" i="28"/>
  <c r="R2034" i="28"/>
  <c r="S2034" i="28"/>
  <c r="T2034" i="28"/>
  <c r="U2034" i="28"/>
  <c r="V2034" i="28"/>
  <c r="W2034" i="28"/>
  <c r="X2034" i="28"/>
  <c r="Y2034" i="28"/>
  <c r="Z2034" i="28"/>
  <c r="AA2034" i="28"/>
  <c r="AB2034" i="28"/>
  <c r="AC2034" i="28"/>
  <c r="AD2034" i="28"/>
  <c r="AE2034" i="28"/>
  <c r="AF2034" i="28"/>
  <c r="AG2034" i="28"/>
  <c r="B2035" i="28"/>
  <c r="C2035" i="28"/>
  <c r="D2035" i="28"/>
  <c r="E2035" i="28"/>
  <c r="F2035" i="28"/>
  <c r="G2035" i="28"/>
  <c r="H2035" i="28"/>
  <c r="I2035" i="28"/>
  <c r="J2035" i="28"/>
  <c r="K2035" i="28"/>
  <c r="L2035" i="28"/>
  <c r="M2035" i="28"/>
  <c r="N2035" i="28"/>
  <c r="O2035" i="28"/>
  <c r="P2035" i="28"/>
  <c r="Q2035" i="28"/>
  <c r="R2035" i="28"/>
  <c r="S2035" i="28"/>
  <c r="T2035" i="28"/>
  <c r="U2035" i="28"/>
  <c r="V2035" i="28"/>
  <c r="W2035" i="28"/>
  <c r="X2035" i="28"/>
  <c r="Y2035" i="28"/>
  <c r="Z2035" i="28"/>
  <c r="AA2035" i="28"/>
  <c r="AB2035" i="28"/>
  <c r="AC2035" i="28"/>
  <c r="AD2035" i="28"/>
  <c r="AE2035" i="28"/>
  <c r="AF2035" i="28"/>
  <c r="AG2035" i="28"/>
  <c r="B2036" i="28"/>
  <c r="C2036" i="28"/>
  <c r="D2036" i="28"/>
  <c r="E2036" i="28"/>
  <c r="F2036" i="28"/>
  <c r="G2036" i="28"/>
  <c r="H2036" i="28"/>
  <c r="I2036" i="28"/>
  <c r="J2036" i="28"/>
  <c r="K2036" i="28"/>
  <c r="L2036" i="28"/>
  <c r="M2036" i="28"/>
  <c r="N2036" i="28"/>
  <c r="O2036" i="28"/>
  <c r="P2036" i="28"/>
  <c r="Q2036" i="28"/>
  <c r="R2036" i="28"/>
  <c r="S2036" i="28"/>
  <c r="T2036" i="28"/>
  <c r="U2036" i="28"/>
  <c r="V2036" i="28"/>
  <c r="W2036" i="28"/>
  <c r="X2036" i="28"/>
  <c r="Y2036" i="28"/>
  <c r="Z2036" i="28"/>
  <c r="AA2036" i="28"/>
  <c r="AB2036" i="28"/>
  <c r="AC2036" i="28"/>
  <c r="AD2036" i="28"/>
  <c r="AE2036" i="28"/>
  <c r="AF2036" i="28"/>
  <c r="AG2036" i="28"/>
  <c r="B2037" i="28"/>
  <c r="C2037" i="28"/>
  <c r="D2037" i="28"/>
  <c r="E2037" i="28"/>
  <c r="F2037" i="28"/>
  <c r="G2037" i="28"/>
  <c r="H2037" i="28"/>
  <c r="I2037" i="28"/>
  <c r="J2037" i="28"/>
  <c r="K2037" i="28"/>
  <c r="L2037" i="28"/>
  <c r="M2037" i="28"/>
  <c r="N2037" i="28"/>
  <c r="O2037" i="28"/>
  <c r="P2037" i="28"/>
  <c r="Q2037" i="28"/>
  <c r="R2037" i="28"/>
  <c r="S2037" i="28"/>
  <c r="T2037" i="28"/>
  <c r="U2037" i="28"/>
  <c r="V2037" i="28"/>
  <c r="W2037" i="28"/>
  <c r="X2037" i="28"/>
  <c r="Y2037" i="28"/>
  <c r="Z2037" i="28"/>
  <c r="AA2037" i="28"/>
  <c r="AB2037" i="28"/>
  <c r="AC2037" i="28"/>
  <c r="AD2037" i="28"/>
  <c r="AE2037" i="28"/>
  <c r="AF2037" i="28"/>
  <c r="AG2037" i="28"/>
  <c r="B2038" i="28"/>
  <c r="C2038" i="28"/>
  <c r="D2038" i="28"/>
  <c r="E2038" i="28"/>
  <c r="F2038" i="28"/>
  <c r="G2038" i="28"/>
  <c r="H2038" i="28"/>
  <c r="I2038" i="28"/>
  <c r="J2038" i="28"/>
  <c r="K2038" i="28"/>
  <c r="L2038" i="28"/>
  <c r="M2038" i="28"/>
  <c r="N2038" i="28"/>
  <c r="O2038" i="28"/>
  <c r="P2038" i="28"/>
  <c r="Q2038" i="28"/>
  <c r="R2038" i="28"/>
  <c r="S2038" i="28"/>
  <c r="T2038" i="28"/>
  <c r="U2038" i="28"/>
  <c r="V2038" i="28"/>
  <c r="W2038" i="28"/>
  <c r="X2038" i="28"/>
  <c r="Y2038" i="28"/>
  <c r="Z2038" i="28"/>
  <c r="AA2038" i="28"/>
  <c r="AB2038" i="28"/>
  <c r="AC2038" i="28"/>
  <c r="AD2038" i="28"/>
  <c r="AE2038" i="28"/>
  <c r="AF2038" i="28"/>
  <c r="AG2038" i="28"/>
  <c r="B2039" i="28"/>
  <c r="C2039" i="28"/>
  <c r="D2039" i="28"/>
  <c r="E2039" i="28"/>
  <c r="F2039" i="28"/>
  <c r="G2039" i="28"/>
  <c r="H2039" i="28"/>
  <c r="I2039" i="28"/>
  <c r="J2039" i="28"/>
  <c r="K2039" i="28"/>
  <c r="L2039" i="28"/>
  <c r="M2039" i="28"/>
  <c r="N2039" i="28"/>
  <c r="O2039" i="28"/>
  <c r="P2039" i="28"/>
  <c r="Q2039" i="28"/>
  <c r="R2039" i="28"/>
  <c r="S2039" i="28"/>
  <c r="T2039" i="28"/>
  <c r="U2039" i="28"/>
  <c r="V2039" i="28"/>
  <c r="W2039" i="28"/>
  <c r="X2039" i="28"/>
  <c r="Y2039" i="28"/>
  <c r="Z2039" i="28"/>
  <c r="AA2039" i="28"/>
  <c r="AB2039" i="28"/>
  <c r="AC2039" i="28"/>
  <c r="AD2039" i="28"/>
  <c r="AE2039" i="28"/>
  <c r="AF2039" i="28"/>
  <c r="AG2039" i="28"/>
  <c r="B2040" i="28"/>
  <c r="C2040" i="28"/>
  <c r="D2040" i="28"/>
  <c r="E2040" i="28"/>
  <c r="F2040" i="28"/>
  <c r="G2040" i="28"/>
  <c r="H2040" i="28"/>
  <c r="I2040" i="28"/>
  <c r="J2040" i="28"/>
  <c r="K2040" i="28"/>
  <c r="L2040" i="28"/>
  <c r="M2040" i="28"/>
  <c r="N2040" i="28"/>
  <c r="O2040" i="28"/>
  <c r="P2040" i="28"/>
  <c r="Q2040" i="28"/>
  <c r="R2040" i="28"/>
  <c r="S2040" i="28"/>
  <c r="T2040" i="28"/>
  <c r="U2040" i="28"/>
  <c r="V2040" i="28"/>
  <c r="W2040" i="28"/>
  <c r="X2040" i="28"/>
  <c r="Y2040" i="28"/>
  <c r="Z2040" i="28"/>
  <c r="AA2040" i="28"/>
  <c r="AB2040" i="28"/>
  <c r="AC2040" i="28"/>
  <c r="AD2040" i="28"/>
  <c r="AE2040" i="28"/>
  <c r="AF2040" i="28"/>
  <c r="AG2040" i="28"/>
  <c r="B2041" i="28"/>
  <c r="C2041" i="28"/>
  <c r="D2041" i="28"/>
  <c r="E2041" i="28"/>
  <c r="F2041" i="28"/>
  <c r="G2041" i="28"/>
  <c r="H2041" i="28"/>
  <c r="I2041" i="28"/>
  <c r="J2041" i="28"/>
  <c r="K2041" i="28"/>
  <c r="L2041" i="28"/>
  <c r="M2041" i="28"/>
  <c r="N2041" i="28"/>
  <c r="O2041" i="28"/>
  <c r="P2041" i="28"/>
  <c r="Q2041" i="28"/>
  <c r="R2041" i="28"/>
  <c r="S2041" i="28"/>
  <c r="T2041" i="28"/>
  <c r="U2041" i="28"/>
  <c r="V2041" i="28"/>
  <c r="W2041" i="28"/>
  <c r="X2041" i="28"/>
  <c r="Y2041" i="28"/>
  <c r="Z2041" i="28"/>
  <c r="AA2041" i="28"/>
  <c r="AB2041" i="28"/>
  <c r="AC2041" i="28"/>
  <c r="AD2041" i="28"/>
  <c r="AE2041" i="28"/>
  <c r="AF2041" i="28"/>
  <c r="AG2041" i="28"/>
  <c r="B2042" i="28"/>
  <c r="C2042" i="28"/>
  <c r="D2042" i="28"/>
  <c r="E2042" i="28"/>
  <c r="F2042" i="28"/>
  <c r="G2042" i="28"/>
  <c r="H2042" i="28"/>
  <c r="I2042" i="28"/>
  <c r="J2042" i="28"/>
  <c r="K2042" i="28"/>
  <c r="L2042" i="28"/>
  <c r="M2042" i="28"/>
  <c r="N2042" i="28"/>
  <c r="O2042" i="28"/>
  <c r="P2042" i="28"/>
  <c r="Q2042" i="28"/>
  <c r="R2042" i="28"/>
  <c r="S2042" i="28"/>
  <c r="T2042" i="28"/>
  <c r="U2042" i="28"/>
  <c r="V2042" i="28"/>
  <c r="W2042" i="28"/>
  <c r="X2042" i="28"/>
  <c r="Y2042" i="28"/>
  <c r="Z2042" i="28"/>
  <c r="AA2042" i="28"/>
  <c r="AB2042" i="28"/>
  <c r="AC2042" i="28"/>
  <c r="AD2042" i="28"/>
  <c r="AE2042" i="28"/>
  <c r="AF2042" i="28"/>
  <c r="AG2042" i="28"/>
  <c r="B2043" i="28"/>
  <c r="C2043" i="28"/>
  <c r="D2043" i="28"/>
  <c r="E2043" i="28"/>
  <c r="F2043" i="28"/>
  <c r="G2043" i="28"/>
  <c r="H2043" i="28"/>
  <c r="I2043" i="28"/>
  <c r="J2043" i="28"/>
  <c r="K2043" i="28"/>
  <c r="L2043" i="28"/>
  <c r="M2043" i="28"/>
  <c r="N2043" i="28"/>
  <c r="O2043" i="28"/>
  <c r="P2043" i="28"/>
  <c r="Q2043" i="28"/>
  <c r="R2043" i="28"/>
  <c r="S2043" i="28"/>
  <c r="T2043" i="28"/>
  <c r="U2043" i="28"/>
  <c r="V2043" i="28"/>
  <c r="W2043" i="28"/>
  <c r="X2043" i="28"/>
  <c r="Y2043" i="28"/>
  <c r="Z2043" i="28"/>
  <c r="AA2043" i="28"/>
  <c r="AB2043" i="28"/>
  <c r="AC2043" i="28"/>
  <c r="AD2043" i="28"/>
  <c r="AE2043" i="28"/>
  <c r="AF2043" i="28"/>
  <c r="AG2043" i="28"/>
  <c r="B2044" i="28"/>
  <c r="C2044" i="28"/>
  <c r="D2044" i="28"/>
  <c r="E2044" i="28"/>
  <c r="F2044" i="28"/>
  <c r="G2044" i="28"/>
  <c r="H2044" i="28"/>
  <c r="I2044" i="28"/>
  <c r="J2044" i="28"/>
  <c r="K2044" i="28"/>
  <c r="L2044" i="28"/>
  <c r="M2044" i="28"/>
  <c r="N2044" i="28"/>
  <c r="O2044" i="28"/>
  <c r="P2044" i="28"/>
  <c r="Q2044" i="28"/>
  <c r="R2044" i="28"/>
  <c r="S2044" i="28"/>
  <c r="T2044" i="28"/>
  <c r="U2044" i="28"/>
  <c r="V2044" i="28"/>
  <c r="W2044" i="28"/>
  <c r="X2044" i="28"/>
  <c r="Y2044" i="28"/>
  <c r="Z2044" i="28"/>
  <c r="AA2044" i="28"/>
  <c r="AB2044" i="28"/>
  <c r="AC2044" i="28"/>
  <c r="AD2044" i="28"/>
  <c r="AE2044" i="28"/>
  <c r="AF2044" i="28"/>
  <c r="AG2044" i="28"/>
  <c r="B2045" i="28"/>
  <c r="C2045" i="28"/>
  <c r="D2045" i="28"/>
  <c r="E2045" i="28"/>
  <c r="F2045" i="28"/>
  <c r="G2045" i="28"/>
  <c r="H2045" i="28"/>
  <c r="I2045" i="28"/>
  <c r="J2045" i="28"/>
  <c r="K2045" i="28"/>
  <c r="L2045" i="28"/>
  <c r="M2045" i="28"/>
  <c r="N2045" i="28"/>
  <c r="O2045" i="28"/>
  <c r="P2045" i="28"/>
  <c r="Q2045" i="28"/>
  <c r="R2045" i="28"/>
  <c r="S2045" i="28"/>
  <c r="T2045" i="28"/>
  <c r="U2045" i="28"/>
  <c r="V2045" i="28"/>
  <c r="W2045" i="28"/>
  <c r="X2045" i="28"/>
  <c r="Y2045" i="28"/>
  <c r="Z2045" i="28"/>
  <c r="AA2045" i="28"/>
  <c r="AB2045" i="28"/>
  <c r="AC2045" i="28"/>
  <c r="AD2045" i="28"/>
  <c r="AE2045" i="28"/>
  <c r="AF2045" i="28"/>
  <c r="AG2045" i="28"/>
  <c r="B2046" i="28"/>
  <c r="C2046" i="28"/>
  <c r="D2046" i="28"/>
  <c r="E2046" i="28"/>
  <c r="F2046" i="28"/>
  <c r="G2046" i="28"/>
  <c r="H2046" i="28"/>
  <c r="I2046" i="28"/>
  <c r="J2046" i="28"/>
  <c r="K2046" i="28"/>
  <c r="L2046" i="28"/>
  <c r="M2046" i="28"/>
  <c r="N2046" i="28"/>
  <c r="O2046" i="28"/>
  <c r="P2046" i="28"/>
  <c r="Q2046" i="28"/>
  <c r="R2046" i="28"/>
  <c r="S2046" i="28"/>
  <c r="T2046" i="28"/>
  <c r="U2046" i="28"/>
  <c r="V2046" i="28"/>
  <c r="W2046" i="28"/>
  <c r="X2046" i="28"/>
  <c r="Y2046" i="28"/>
  <c r="Z2046" i="28"/>
  <c r="AA2046" i="28"/>
  <c r="AB2046" i="28"/>
  <c r="AC2046" i="28"/>
  <c r="AD2046" i="28"/>
  <c r="AE2046" i="28"/>
  <c r="AF2046" i="28"/>
  <c r="AG2046" i="28"/>
  <c r="B2047" i="28"/>
  <c r="C2047" i="28"/>
  <c r="D2047" i="28"/>
  <c r="E2047" i="28"/>
  <c r="F2047" i="28"/>
  <c r="G2047" i="28"/>
  <c r="H2047" i="28"/>
  <c r="I2047" i="28"/>
  <c r="J2047" i="28"/>
  <c r="K2047" i="28"/>
  <c r="L2047" i="28"/>
  <c r="M2047" i="28"/>
  <c r="N2047" i="28"/>
  <c r="O2047" i="28"/>
  <c r="P2047" i="28"/>
  <c r="Q2047" i="28"/>
  <c r="R2047" i="28"/>
  <c r="S2047" i="28"/>
  <c r="T2047" i="28"/>
  <c r="U2047" i="28"/>
  <c r="V2047" i="28"/>
  <c r="W2047" i="28"/>
  <c r="X2047" i="28"/>
  <c r="Y2047" i="28"/>
  <c r="Z2047" i="28"/>
  <c r="AA2047" i="28"/>
  <c r="AB2047" i="28"/>
  <c r="AC2047" i="28"/>
  <c r="AD2047" i="28"/>
  <c r="AE2047" i="28"/>
  <c r="AF2047" i="28"/>
  <c r="AG2047" i="28"/>
  <c r="B2048" i="28"/>
  <c r="C2048" i="28"/>
  <c r="D2048" i="28"/>
  <c r="E2048" i="28"/>
  <c r="F2048" i="28"/>
  <c r="G2048" i="28"/>
  <c r="H2048" i="28"/>
  <c r="I2048" i="28"/>
  <c r="J2048" i="28"/>
  <c r="K2048" i="28"/>
  <c r="L2048" i="28"/>
  <c r="M2048" i="28"/>
  <c r="N2048" i="28"/>
  <c r="O2048" i="28"/>
  <c r="P2048" i="28"/>
  <c r="Q2048" i="28"/>
  <c r="R2048" i="28"/>
  <c r="S2048" i="28"/>
  <c r="T2048" i="28"/>
  <c r="U2048" i="28"/>
  <c r="V2048" i="28"/>
  <c r="W2048" i="28"/>
  <c r="X2048" i="28"/>
  <c r="Y2048" i="28"/>
  <c r="Z2048" i="28"/>
  <c r="AA2048" i="28"/>
  <c r="AB2048" i="28"/>
  <c r="AC2048" i="28"/>
  <c r="AD2048" i="28"/>
  <c r="AE2048" i="28"/>
  <c r="AF2048" i="28"/>
  <c r="AG2048" i="28"/>
  <c r="B2049" i="28"/>
  <c r="C2049" i="28"/>
  <c r="D2049" i="28"/>
  <c r="E2049" i="28"/>
  <c r="F2049" i="28"/>
  <c r="G2049" i="28"/>
  <c r="H2049" i="28"/>
  <c r="I2049" i="28"/>
  <c r="J2049" i="28"/>
  <c r="K2049" i="28"/>
  <c r="L2049" i="28"/>
  <c r="M2049" i="28"/>
  <c r="N2049" i="28"/>
  <c r="O2049" i="28"/>
  <c r="P2049" i="28"/>
  <c r="Q2049" i="28"/>
  <c r="R2049" i="28"/>
  <c r="S2049" i="28"/>
  <c r="T2049" i="28"/>
  <c r="U2049" i="28"/>
  <c r="V2049" i="28"/>
  <c r="W2049" i="28"/>
  <c r="X2049" i="28"/>
  <c r="Y2049" i="28"/>
  <c r="Z2049" i="28"/>
  <c r="AA2049" i="28"/>
  <c r="AB2049" i="28"/>
  <c r="AC2049" i="28"/>
  <c r="AD2049" i="28"/>
  <c r="AE2049" i="28"/>
  <c r="AF2049" i="28"/>
  <c r="AG2049" i="28"/>
  <c r="B2050" i="28"/>
  <c r="C2050" i="28"/>
  <c r="D2050" i="28"/>
  <c r="E2050" i="28"/>
  <c r="F2050" i="28"/>
  <c r="G2050" i="28"/>
  <c r="H2050" i="28"/>
  <c r="I2050" i="28"/>
  <c r="J2050" i="28"/>
  <c r="K2050" i="28"/>
  <c r="L2050" i="28"/>
  <c r="M2050" i="28"/>
  <c r="N2050" i="28"/>
  <c r="O2050" i="28"/>
  <c r="P2050" i="28"/>
  <c r="Q2050" i="28"/>
  <c r="R2050" i="28"/>
  <c r="S2050" i="28"/>
  <c r="T2050" i="28"/>
  <c r="U2050" i="28"/>
  <c r="V2050" i="28"/>
  <c r="W2050" i="28"/>
  <c r="X2050" i="28"/>
  <c r="Y2050" i="28"/>
  <c r="Z2050" i="28"/>
  <c r="AA2050" i="28"/>
  <c r="AB2050" i="28"/>
  <c r="AC2050" i="28"/>
  <c r="AD2050" i="28"/>
  <c r="AE2050" i="28"/>
  <c r="AF2050" i="28"/>
  <c r="AG2050" i="28"/>
  <c r="B2051" i="28"/>
  <c r="C2051" i="28"/>
  <c r="D2051" i="28"/>
  <c r="E2051" i="28"/>
  <c r="F2051" i="28"/>
  <c r="G2051" i="28"/>
  <c r="H2051" i="28"/>
  <c r="I2051" i="28"/>
  <c r="J2051" i="28"/>
  <c r="K2051" i="28"/>
  <c r="L2051" i="28"/>
  <c r="M2051" i="28"/>
  <c r="N2051" i="28"/>
  <c r="O2051" i="28"/>
  <c r="P2051" i="28"/>
  <c r="Q2051" i="28"/>
  <c r="R2051" i="28"/>
  <c r="S2051" i="28"/>
  <c r="T2051" i="28"/>
  <c r="U2051" i="28"/>
  <c r="V2051" i="28"/>
  <c r="W2051" i="28"/>
  <c r="X2051" i="28"/>
  <c r="Y2051" i="28"/>
  <c r="Z2051" i="28"/>
  <c r="AA2051" i="28"/>
  <c r="AB2051" i="28"/>
  <c r="AC2051" i="28"/>
  <c r="AD2051" i="28"/>
  <c r="AE2051" i="28"/>
  <c r="AF2051" i="28"/>
  <c r="AG2051" i="28"/>
  <c r="B2052" i="28"/>
  <c r="C2052" i="28"/>
  <c r="D2052" i="28"/>
  <c r="E2052" i="28"/>
  <c r="F2052" i="28"/>
  <c r="G2052" i="28"/>
  <c r="H2052" i="28"/>
  <c r="I2052" i="28"/>
  <c r="J2052" i="28"/>
  <c r="K2052" i="28"/>
  <c r="L2052" i="28"/>
  <c r="M2052" i="28"/>
  <c r="N2052" i="28"/>
  <c r="O2052" i="28"/>
  <c r="P2052" i="28"/>
  <c r="Q2052" i="28"/>
  <c r="R2052" i="28"/>
  <c r="S2052" i="28"/>
  <c r="T2052" i="28"/>
  <c r="U2052" i="28"/>
  <c r="V2052" i="28"/>
  <c r="W2052" i="28"/>
  <c r="X2052" i="28"/>
  <c r="Y2052" i="28"/>
  <c r="Z2052" i="28"/>
  <c r="AA2052" i="28"/>
  <c r="AB2052" i="28"/>
  <c r="AC2052" i="28"/>
  <c r="AD2052" i="28"/>
  <c r="AE2052" i="28"/>
  <c r="AF2052" i="28"/>
  <c r="AG2052" i="28"/>
  <c r="B2053" i="28"/>
  <c r="C2053" i="28"/>
  <c r="D2053" i="28"/>
  <c r="E2053" i="28"/>
  <c r="F2053" i="28"/>
  <c r="G2053" i="28"/>
  <c r="H2053" i="28"/>
  <c r="I2053" i="28"/>
  <c r="J2053" i="28"/>
  <c r="K2053" i="28"/>
  <c r="L2053" i="28"/>
  <c r="M2053" i="28"/>
  <c r="N2053" i="28"/>
  <c r="O2053" i="28"/>
  <c r="P2053" i="28"/>
  <c r="Q2053" i="28"/>
  <c r="R2053" i="28"/>
  <c r="S2053" i="28"/>
  <c r="T2053" i="28"/>
  <c r="U2053" i="28"/>
  <c r="V2053" i="28"/>
  <c r="W2053" i="28"/>
  <c r="X2053" i="28"/>
  <c r="Y2053" i="28"/>
  <c r="Z2053" i="28"/>
  <c r="AA2053" i="28"/>
  <c r="AB2053" i="28"/>
  <c r="AC2053" i="28"/>
  <c r="AD2053" i="28"/>
  <c r="AE2053" i="28"/>
  <c r="AF2053" i="28"/>
  <c r="AG2053" i="28"/>
  <c r="B2054" i="28"/>
  <c r="C2054" i="28"/>
  <c r="D2054" i="28"/>
  <c r="E2054" i="28"/>
  <c r="F2054" i="28"/>
  <c r="G2054" i="28"/>
  <c r="H2054" i="28"/>
  <c r="I2054" i="28"/>
  <c r="J2054" i="28"/>
  <c r="K2054" i="28"/>
  <c r="L2054" i="28"/>
  <c r="M2054" i="28"/>
  <c r="N2054" i="28"/>
  <c r="O2054" i="28"/>
  <c r="P2054" i="28"/>
  <c r="Q2054" i="28"/>
  <c r="R2054" i="28"/>
  <c r="S2054" i="28"/>
  <c r="T2054" i="28"/>
  <c r="U2054" i="28"/>
  <c r="V2054" i="28"/>
  <c r="W2054" i="28"/>
  <c r="X2054" i="28"/>
  <c r="Y2054" i="28"/>
  <c r="Z2054" i="28"/>
  <c r="AA2054" i="28"/>
  <c r="AB2054" i="28"/>
  <c r="AC2054" i="28"/>
  <c r="AD2054" i="28"/>
  <c r="AE2054" i="28"/>
  <c r="AF2054" i="28"/>
  <c r="AG2054" i="28"/>
  <c r="B2055" i="28"/>
  <c r="C2055" i="28"/>
  <c r="D2055" i="28"/>
  <c r="E2055" i="28"/>
  <c r="F2055" i="28"/>
  <c r="G2055" i="28"/>
  <c r="H2055" i="28"/>
  <c r="I2055" i="28"/>
  <c r="J2055" i="28"/>
  <c r="K2055" i="28"/>
  <c r="L2055" i="28"/>
  <c r="M2055" i="28"/>
  <c r="N2055" i="28"/>
  <c r="O2055" i="28"/>
  <c r="P2055" i="28"/>
  <c r="Q2055" i="28"/>
  <c r="R2055" i="28"/>
  <c r="S2055" i="28"/>
  <c r="T2055" i="28"/>
  <c r="U2055" i="28"/>
  <c r="V2055" i="28"/>
  <c r="W2055" i="28"/>
  <c r="X2055" i="28"/>
  <c r="Y2055" i="28"/>
  <c r="Z2055" i="28"/>
  <c r="AA2055" i="28"/>
  <c r="AB2055" i="28"/>
  <c r="AC2055" i="28"/>
  <c r="AD2055" i="28"/>
  <c r="AE2055" i="28"/>
  <c r="AF2055" i="28"/>
  <c r="AG2055" i="28"/>
  <c r="B2056" i="28"/>
  <c r="C2056" i="28"/>
  <c r="D2056" i="28"/>
  <c r="E2056" i="28"/>
  <c r="F2056" i="28"/>
  <c r="G2056" i="28"/>
  <c r="H2056" i="28"/>
  <c r="I2056" i="28"/>
  <c r="J2056" i="28"/>
  <c r="K2056" i="28"/>
  <c r="L2056" i="28"/>
  <c r="M2056" i="28"/>
  <c r="N2056" i="28"/>
  <c r="O2056" i="28"/>
  <c r="P2056" i="28"/>
  <c r="Q2056" i="28"/>
  <c r="R2056" i="28"/>
  <c r="S2056" i="28"/>
  <c r="T2056" i="28"/>
  <c r="U2056" i="28"/>
  <c r="V2056" i="28"/>
  <c r="W2056" i="28"/>
  <c r="X2056" i="28"/>
  <c r="Y2056" i="28"/>
  <c r="Z2056" i="28"/>
  <c r="AA2056" i="28"/>
  <c r="AB2056" i="28"/>
  <c r="AC2056" i="28"/>
  <c r="AD2056" i="28"/>
  <c r="AE2056" i="28"/>
  <c r="AF2056" i="28"/>
  <c r="AG2056" i="28"/>
  <c r="B2057" i="28"/>
  <c r="C2057" i="28"/>
  <c r="D2057" i="28"/>
  <c r="E2057" i="28"/>
  <c r="F2057" i="28"/>
  <c r="G2057" i="28"/>
  <c r="H2057" i="28"/>
  <c r="I2057" i="28"/>
  <c r="J2057" i="28"/>
  <c r="K2057" i="28"/>
  <c r="L2057" i="28"/>
  <c r="M2057" i="28"/>
  <c r="N2057" i="28"/>
  <c r="O2057" i="28"/>
  <c r="P2057" i="28"/>
  <c r="Q2057" i="28"/>
  <c r="R2057" i="28"/>
  <c r="S2057" i="28"/>
  <c r="T2057" i="28"/>
  <c r="U2057" i="28"/>
  <c r="V2057" i="28"/>
  <c r="W2057" i="28"/>
  <c r="X2057" i="28"/>
  <c r="Y2057" i="28"/>
  <c r="Z2057" i="28"/>
  <c r="AA2057" i="28"/>
  <c r="AB2057" i="28"/>
  <c r="AC2057" i="28"/>
  <c r="AD2057" i="28"/>
  <c r="AE2057" i="28"/>
  <c r="AF2057" i="28"/>
  <c r="AG2057" i="28"/>
  <c r="B2058" i="28"/>
  <c r="C2058" i="28"/>
  <c r="D2058" i="28"/>
  <c r="E2058" i="28"/>
  <c r="F2058" i="28"/>
  <c r="G2058" i="28"/>
  <c r="H2058" i="28"/>
  <c r="I2058" i="28"/>
  <c r="J2058" i="28"/>
  <c r="K2058" i="28"/>
  <c r="L2058" i="28"/>
  <c r="M2058" i="28"/>
  <c r="N2058" i="28"/>
  <c r="O2058" i="28"/>
  <c r="P2058" i="28"/>
  <c r="Q2058" i="28"/>
  <c r="R2058" i="28"/>
  <c r="S2058" i="28"/>
  <c r="T2058" i="28"/>
  <c r="U2058" i="28"/>
  <c r="V2058" i="28"/>
  <c r="W2058" i="28"/>
  <c r="X2058" i="28"/>
  <c r="Y2058" i="28"/>
  <c r="Z2058" i="28"/>
  <c r="AA2058" i="28"/>
  <c r="AB2058" i="28"/>
  <c r="AC2058" i="28"/>
  <c r="AD2058" i="28"/>
  <c r="AE2058" i="28"/>
  <c r="AF2058" i="28"/>
  <c r="AG2058" i="28"/>
  <c r="B2059" i="28"/>
  <c r="C2059" i="28"/>
  <c r="D2059" i="28"/>
  <c r="E2059" i="28"/>
  <c r="F2059" i="28"/>
  <c r="G2059" i="28"/>
  <c r="H2059" i="28"/>
  <c r="I2059" i="28"/>
  <c r="J2059" i="28"/>
  <c r="K2059" i="28"/>
  <c r="L2059" i="28"/>
  <c r="M2059" i="28"/>
  <c r="N2059" i="28"/>
  <c r="O2059" i="28"/>
  <c r="P2059" i="28"/>
  <c r="Q2059" i="28"/>
  <c r="R2059" i="28"/>
  <c r="S2059" i="28"/>
  <c r="T2059" i="28"/>
  <c r="U2059" i="28"/>
  <c r="V2059" i="28"/>
  <c r="W2059" i="28"/>
  <c r="X2059" i="28"/>
  <c r="Y2059" i="28"/>
  <c r="Z2059" i="28"/>
  <c r="AA2059" i="28"/>
  <c r="AB2059" i="28"/>
  <c r="AC2059" i="28"/>
  <c r="AD2059" i="28"/>
  <c r="AE2059" i="28"/>
  <c r="AF2059" i="28"/>
  <c r="AG2059" i="28"/>
  <c r="B2060" i="28"/>
  <c r="C2060" i="28"/>
  <c r="D2060" i="28"/>
  <c r="E2060" i="28"/>
  <c r="F2060" i="28"/>
  <c r="G2060" i="28"/>
  <c r="H2060" i="28"/>
  <c r="I2060" i="28"/>
  <c r="J2060" i="28"/>
  <c r="K2060" i="28"/>
  <c r="L2060" i="28"/>
  <c r="M2060" i="28"/>
  <c r="N2060" i="28"/>
  <c r="O2060" i="28"/>
  <c r="P2060" i="28"/>
  <c r="Q2060" i="28"/>
  <c r="R2060" i="28"/>
  <c r="S2060" i="28"/>
  <c r="T2060" i="28"/>
  <c r="U2060" i="28"/>
  <c r="V2060" i="28"/>
  <c r="W2060" i="28"/>
  <c r="X2060" i="28"/>
  <c r="Y2060" i="28"/>
  <c r="Z2060" i="28"/>
  <c r="AA2060" i="28"/>
  <c r="AB2060" i="28"/>
  <c r="AC2060" i="28"/>
  <c r="AD2060" i="28"/>
  <c r="AE2060" i="28"/>
  <c r="AF2060" i="28"/>
  <c r="AG2060" i="28"/>
  <c r="B2061" i="28"/>
  <c r="C2061" i="28"/>
  <c r="D2061" i="28"/>
  <c r="E2061" i="28"/>
  <c r="F2061" i="28"/>
  <c r="G2061" i="28"/>
  <c r="H2061" i="28"/>
  <c r="I2061" i="28"/>
  <c r="J2061" i="28"/>
  <c r="K2061" i="28"/>
  <c r="L2061" i="28"/>
  <c r="M2061" i="28"/>
  <c r="N2061" i="28"/>
  <c r="O2061" i="28"/>
  <c r="P2061" i="28"/>
  <c r="Q2061" i="28"/>
  <c r="R2061" i="28"/>
  <c r="S2061" i="28"/>
  <c r="T2061" i="28"/>
  <c r="U2061" i="28"/>
  <c r="V2061" i="28"/>
  <c r="W2061" i="28"/>
  <c r="X2061" i="28"/>
  <c r="Y2061" i="28"/>
  <c r="Z2061" i="28"/>
  <c r="AA2061" i="28"/>
  <c r="AB2061" i="28"/>
  <c r="AC2061" i="28"/>
  <c r="AD2061" i="28"/>
  <c r="AE2061" i="28"/>
  <c r="AF2061" i="28"/>
  <c r="AG2061" i="28"/>
  <c r="B2062" i="28"/>
  <c r="C2062" i="28"/>
  <c r="D2062" i="28"/>
  <c r="E2062" i="28"/>
  <c r="F2062" i="28"/>
  <c r="G2062" i="28"/>
  <c r="H2062" i="28"/>
  <c r="I2062" i="28"/>
  <c r="J2062" i="28"/>
  <c r="K2062" i="28"/>
  <c r="L2062" i="28"/>
  <c r="M2062" i="28"/>
  <c r="N2062" i="28"/>
  <c r="O2062" i="28"/>
  <c r="P2062" i="28"/>
  <c r="Q2062" i="28"/>
  <c r="R2062" i="28"/>
  <c r="S2062" i="28"/>
  <c r="T2062" i="28"/>
  <c r="U2062" i="28"/>
  <c r="V2062" i="28"/>
  <c r="W2062" i="28"/>
  <c r="X2062" i="28"/>
  <c r="Y2062" i="28"/>
  <c r="Z2062" i="28"/>
  <c r="AA2062" i="28"/>
  <c r="AB2062" i="28"/>
  <c r="AC2062" i="28"/>
  <c r="AD2062" i="28"/>
  <c r="AE2062" i="28"/>
  <c r="AF2062" i="28"/>
  <c r="AG2062" i="28"/>
  <c r="B2063" i="28"/>
  <c r="C2063" i="28"/>
  <c r="D2063" i="28"/>
  <c r="E2063" i="28"/>
  <c r="F2063" i="28"/>
  <c r="G2063" i="28"/>
  <c r="H2063" i="28"/>
  <c r="I2063" i="28"/>
  <c r="J2063" i="28"/>
  <c r="K2063" i="28"/>
  <c r="L2063" i="28"/>
  <c r="M2063" i="28"/>
  <c r="N2063" i="28"/>
  <c r="O2063" i="28"/>
  <c r="P2063" i="28"/>
  <c r="Q2063" i="28"/>
  <c r="R2063" i="28"/>
  <c r="S2063" i="28"/>
  <c r="T2063" i="28"/>
  <c r="U2063" i="28"/>
  <c r="V2063" i="28"/>
  <c r="W2063" i="28"/>
  <c r="X2063" i="28"/>
  <c r="Y2063" i="28"/>
  <c r="Z2063" i="28"/>
  <c r="AA2063" i="28"/>
  <c r="AB2063" i="28"/>
  <c r="AC2063" i="28"/>
  <c r="AD2063" i="28"/>
  <c r="AE2063" i="28"/>
  <c r="AF2063" i="28"/>
  <c r="AG2063" i="28"/>
  <c r="B2064" i="28"/>
  <c r="C2064" i="28"/>
  <c r="D2064" i="28"/>
  <c r="E2064" i="28"/>
  <c r="F2064" i="28"/>
  <c r="G2064" i="28"/>
  <c r="H2064" i="28"/>
  <c r="I2064" i="28"/>
  <c r="J2064" i="28"/>
  <c r="K2064" i="28"/>
  <c r="L2064" i="28"/>
  <c r="M2064" i="28"/>
  <c r="N2064" i="28"/>
  <c r="O2064" i="28"/>
  <c r="P2064" i="28"/>
  <c r="Q2064" i="28"/>
  <c r="R2064" i="28"/>
  <c r="S2064" i="28"/>
  <c r="T2064" i="28"/>
  <c r="U2064" i="28"/>
  <c r="V2064" i="28"/>
  <c r="W2064" i="28"/>
  <c r="X2064" i="28"/>
  <c r="Y2064" i="28"/>
  <c r="Z2064" i="28"/>
  <c r="AA2064" i="28"/>
  <c r="AB2064" i="28"/>
  <c r="AC2064" i="28"/>
  <c r="AD2064" i="28"/>
  <c r="AE2064" i="28"/>
  <c r="AF2064" i="28"/>
  <c r="AG2064" i="28"/>
  <c r="B2065" i="28"/>
  <c r="C2065" i="28"/>
  <c r="D2065" i="28"/>
  <c r="E2065" i="28"/>
  <c r="F2065" i="28"/>
  <c r="G2065" i="28"/>
  <c r="H2065" i="28"/>
  <c r="I2065" i="28"/>
  <c r="J2065" i="28"/>
  <c r="K2065" i="28"/>
  <c r="L2065" i="28"/>
  <c r="M2065" i="28"/>
  <c r="N2065" i="28"/>
  <c r="O2065" i="28"/>
  <c r="P2065" i="28"/>
  <c r="Q2065" i="28"/>
  <c r="R2065" i="28"/>
  <c r="S2065" i="28"/>
  <c r="T2065" i="28"/>
  <c r="U2065" i="28"/>
  <c r="V2065" i="28"/>
  <c r="W2065" i="28"/>
  <c r="X2065" i="28"/>
  <c r="Y2065" i="28"/>
  <c r="Z2065" i="28"/>
  <c r="AA2065" i="28"/>
  <c r="AB2065" i="28"/>
  <c r="AC2065" i="28"/>
  <c r="AD2065" i="28"/>
  <c r="AE2065" i="28"/>
  <c r="AF2065" i="28"/>
  <c r="AG2065" i="28"/>
  <c r="B2066" i="28"/>
  <c r="C2066" i="28"/>
  <c r="D2066" i="28"/>
  <c r="E2066" i="28"/>
  <c r="F2066" i="28"/>
  <c r="G2066" i="28"/>
  <c r="H2066" i="28"/>
  <c r="I2066" i="28"/>
  <c r="J2066" i="28"/>
  <c r="K2066" i="28"/>
  <c r="L2066" i="28"/>
  <c r="M2066" i="28"/>
  <c r="N2066" i="28"/>
  <c r="O2066" i="28"/>
  <c r="P2066" i="28"/>
  <c r="Q2066" i="28"/>
  <c r="R2066" i="28"/>
  <c r="S2066" i="28"/>
  <c r="T2066" i="28"/>
  <c r="U2066" i="28"/>
  <c r="V2066" i="28"/>
  <c r="W2066" i="28"/>
  <c r="X2066" i="28"/>
  <c r="Y2066" i="28"/>
  <c r="Z2066" i="28"/>
  <c r="AA2066" i="28"/>
  <c r="AB2066" i="28"/>
  <c r="AC2066" i="28"/>
  <c r="AD2066" i="28"/>
  <c r="AE2066" i="28"/>
  <c r="AF2066" i="28"/>
  <c r="AG2066" i="28"/>
  <c r="B2067" i="28"/>
  <c r="C2067" i="28"/>
  <c r="D2067" i="28"/>
  <c r="E2067" i="28"/>
  <c r="F2067" i="28"/>
  <c r="G2067" i="28"/>
  <c r="H2067" i="28"/>
  <c r="I2067" i="28"/>
  <c r="J2067" i="28"/>
  <c r="K2067" i="28"/>
  <c r="L2067" i="28"/>
  <c r="M2067" i="28"/>
  <c r="N2067" i="28"/>
  <c r="O2067" i="28"/>
  <c r="P2067" i="28"/>
  <c r="Q2067" i="28"/>
  <c r="R2067" i="28"/>
  <c r="S2067" i="28"/>
  <c r="T2067" i="28"/>
  <c r="U2067" i="28"/>
  <c r="V2067" i="28"/>
  <c r="W2067" i="28"/>
  <c r="X2067" i="28"/>
  <c r="Y2067" i="28"/>
  <c r="Z2067" i="28"/>
  <c r="AA2067" i="28"/>
  <c r="AB2067" i="28"/>
  <c r="AC2067" i="28"/>
  <c r="AD2067" i="28"/>
  <c r="AE2067" i="28"/>
  <c r="AF2067" i="28"/>
  <c r="AG2067" i="28"/>
  <c r="B2068" i="28"/>
  <c r="C2068" i="28"/>
  <c r="D2068" i="28"/>
  <c r="E2068" i="28"/>
  <c r="F2068" i="28"/>
  <c r="G2068" i="28"/>
  <c r="H2068" i="28"/>
  <c r="I2068" i="28"/>
  <c r="J2068" i="28"/>
  <c r="K2068" i="28"/>
  <c r="L2068" i="28"/>
  <c r="M2068" i="28"/>
  <c r="N2068" i="28"/>
  <c r="O2068" i="28"/>
  <c r="P2068" i="28"/>
  <c r="Q2068" i="28"/>
  <c r="R2068" i="28"/>
  <c r="S2068" i="28"/>
  <c r="T2068" i="28"/>
  <c r="U2068" i="28"/>
  <c r="V2068" i="28"/>
  <c r="W2068" i="28"/>
  <c r="X2068" i="28"/>
  <c r="Y2068" i="28"/>
  <c r="Z2068" i="28"/>
  <c r="AA2068" i="28"/>
  <c r="AB2068" i="28"/>
  <c r="AC2068" i="28"/>
  <c r="AD2068" i="28"/>
  <c r="AE2068" i="28"/>
  <c r="AF2068" i="28"/>
  <c r="AG2068" i="28"/>
  <c r="B2069" i="28"/>
  <c r="C2069" i="28"/>
  <c r="D2069" i="28"/>
  <c r="E2069" i="28"/>
  <c r="F2069" i="28"/>
  <c r="G2069" i="28"/>
  <c r="H2069" i="28"/>
  <c r="I2069" i="28"/>
  <c r="J2069" i="28"/>
  <c r="K2069" i="28"/>
  <c r="L2069" i="28"/>
  <c r="M2069" i="28"/>
  <c r="N2069" i="28"/>
  <c r="O2069" i="28"/>
  <c r="P2069" i="28"/>
  <c r="Q2069" i="28"/>
  <c r="R2069" i="28"/>
  <c r="S2069" i="28"/>
  <c r="T2069" i="28"/>
  <c r="U2069" i="28"/>
  <c r="V2069" i="28"/>
  <c r="W2069" i="28"/>
  <c r="X2069" i="28"/>
  <c r="Y2069" i="28"/>
  <c r="Z2069" i="28"/>
  <c r="AA2069" i="28"/>
  <c r="AB2069" i="28"/>
  <c r="AC2069" i="28"/>
  <c r="AD2069" i="28"/>
  <c r="AE2069" i="28"/>
  <c r="AF2069" i="28"/>
  <c r="AG2069" i="28"/>
  <c r="B2070" i="28"/>
  <c r="C2070" i="28"/>
  <c r="D2070" i="28"/>
  <c r="E2070" i="28"/>
  <c r="F2070" i="28"/>
  <c r="G2070" i="28"/>
  <c r="H2070" i="28"/>
  <c r="I2070" i="28"/>
  <c r="J2070" i="28"/>
  <c r="K2070" i="28"/>
  <c r="L2070" i="28"/>
  <c r="M2070" i="28"/>
  <c r="N2070" i="28"/>
  <c r="O2070" i="28"/>
  <c r="P2070" i="28"/>
  <c r="Q2070" i="28"/>
  <c r="R2070" i="28"/>
  <c r="S2070" i="28"/>
  <c r="T2070" i="28"/>
  <c r="U2070" i="28"/>
  <c r="V2070" i="28"/>
  <c r="W2070" i="28"/>
  <c r="X2070" i="28"/>
  <c r="Y2070" i="28"/>
  <c r="Z2070" i="28"/>
  <c r="AA2070" i="28"/>
  <c r="AB2070" i="28"/>
  <c r="AC2070" i="28"/>
  <c r="AD2070" i="28"/>
  <c r="AE2070" i="28"/>
  <c r="AF2070" i="28"/>
  <c r="AG2070" i="28"/>
  <c r="B2071" i="28"/>
  <c r="C2071" i="28"/>
  <c r="D2071" i="28"/>
  <c r="E2071" i="28"/>
  <c r="F2071" i="28"/>
  <c r="G2071" i="28"/>
  <c r="H2071" i="28"/>
  <c r="I2071" i="28"/>
  <c r="J2071" i="28"/>
  <c r="K2071" i="28"/>
  <c r="L2071" i="28"/>
  <c r="M2071" i="28"/>
  <c r="N2071" i="28"/>
  <c r="O2071" i="28"/>
  <c r="P2071" i="28"/>
  <c r="Q2071" i="28"/>
  <c r="R2071" i="28"/>
  <c r="S2071" i="28"/>
  <c r="T2071" i="28"/>
  <c r="U2071" i="28"/>
  <c r="V2071" i="28"/>
  <c r="W2071" i="28"/>
  <c r="X2071" i="28"/>
  <c r="Y2071" i="28"/>
  <c r="Z2071" i="28"/>
  <c r="AA2071" i="28"/>
  <c r="AB2071" i="28"/>
  <c r="AC2071" i="28"/>
  <c r="AD2071" i="28"/>
  <c r="AE2071" i="28"/>
  <c r="AF2071" i="28"/>
  <c r="AG2071" i="28"/>
  <c r="B2072" i="28"/>
  <c r="C2072" i="28"/>
  <c r="D2072" i="28"/>
  <c r="E2072" i="28"/>
  <c r="F2072" i="28"/>
  <c r="G2072" i="28"/>
  <c r="H2072" i="28"/>
  <c r="I2072" i="28"/>
  <c r="J2072" i="28"/>
  <c r="K2072" i="28"/>
  <c r="L2072" i="28"/>
  <c r="M2072" i="28"/>
  <c r="N2072" i="28"/>
  <c r="O2072" i="28"/>
  <c r="P2072" i="28"/>
  <c r="Q2072" i="28"/>
  <c r="R2072" i="28"/>
  <c r="S2072" i="28"/>
  <c r="T2072" i="28"/>
  <c r="U2072" i="28"/>
  <c r="V2072" i="28"/>
  <c r="W2072" i="28"/>
  <c r="X2072" i="28"/>
  <c r="Y2072" i="28"/>
  <c r="Z2072" i="28"/>
  <c r="AA2072" i="28"/>
  <c r="AB2072" i="28"/>
  <c r="AC2072" i="28"/>
  <c r="AD2072" i="28"/>
  <c r="AE2072" i="28"/>
  <c r="AF2072" i="28"/>
  <c r="AG2072" i="28"/>
  <c r="B2073" i="28"/>
  <c r="C2073" i="28"/>
  <c r="D2073" i="28"/>
  <c r="E2073" i="28"/>
  <c r="F2073" i="28"/>
  <c r="G2073" i="28"/>
  <c r="H2073" i="28"/>
  <c r="I2073" i="28"/>
  <c r="J2073" i="28"/>
  <c r="K2073" i="28"/>
  <c r="L2073" i="28"/>
  <c r="M2073" i="28"/>
  <c r="N2073" i="28"/>
  <c r="O2073" i="28"/>
  <c r="P2073" i="28"/>
  <c r="Q2073" i="28"/>
  <c r="R2073" i="28"/>
  <c r="S2073" i="28"/>
  <c r="T2073" i="28"/>
  <c r="U2073" i="28"/>
  <c r="V2073" i="28"/>
  <c r="W2073" i="28"/>
  <c r="X2073" i="28"/>
  <c r="Y2073" i="28"/>
  <c r="Z2073" i="28"/>
  <c r="AA2073" i="28"/>
  <c r="AB2073" i="28"/>
  <c r="AC2073" i="28"/>
  <c r="AD2073" i="28"/>
  <c r="AE2073" i="28"/>
  <c r="AF2073" i="28"/>
  <c r="AG2073" i="28"/>
  <c r="B2074" i="28"/>
  <c r="C2074" i="28"/>
  <c r="D2074" i="28"/>
  <c r="E2074" i="28"/>
  <c r="F2074" i="28"/>
  <c r="G2074" i="28"/>
  <c r="H2074" i="28"/>
  <c r="I2074" i="28"/>
  <c r="J2074" i="28"/>
  <c r="K2074" i="28"/>
  <c r="L2074" i="28"/>
  <c r="M2074" i="28"/>
  <c r="N2074" i="28"/>
  <c r="O2074" i="28"/>
  <c r="P2074" i="28"/>
  <c r="Q2074" i="28"/>
  <c r="R2074" i="28"/>
  <c r="S2074" i="28"/>
  <c r="T2074" i="28"/>
  <c r="U2074" i="28"/>
  <c r="V2074" i="28"/>
  <c r="W2074" i="28"/>
  <c r="X2074" i="28"/>
  <c r="Y2074" i="28"/>
  <c r="Z2074" i="28"/>
  <c r="AA2074" i="28"/>
  <c r="AB2074" i="28"/>
  <c r="AC2074" i="28"/>
  <c r="AD2074" i="28"/>
  <c r="AE2074" i="28"/>
  <c r="AF2074" i="28"/>
  <c r="AG2074" i="28"/>
  <c r="B2075" i="28"/>
  <c r="C2075" i="28"/>
  <c r="D2075" i="28"/>
  <c r="E2075" i="28"/>
  <c r="F2075" i="28"/>
  <c r="G2075" i="28"/>
  <c r="H2075" i="28"/>
  <c r="I2075" i="28"/>
  <c r="J2075" i="28"/>
  <c r="K2075" i="28"/>
  <c r="L2075" i="28"/>
  <c r="M2075" i="28"/>
  <c r="N2075" i="28"/>
  <c r="O2075" i="28"/>
  <c r="P2075" i="28"/>
  <c r="Q2075" i="28"/>
  <c r="R2075" i="28"/>
  <c r="S2075" i="28"/>
  <c r="T2075" i="28"/>
  <c r="U2075" i="28"/>
  <c r="V2075" i="28"/>
  <c r="W2075" i="28"/>
  <c r="X2075" i="28"/>
  <c r="Y2075" i="28"/>
  <c r="Z2075" i="28"/>
  <c r="AA2075" i="28"/>
  <c r="AB2075" i="28"/>
  <c r="AC2075" i="28"/>
  <c r="AD2075" i="28"/>
  <c r="AE2075" i="28"/>
  <c r="AF2075" i="28"/>
  <c r="AG2075" i="28"/>
  <c r="B2076" i="28"/>
  <c r="C2076" i="28"/>
  <c r="D2076" i="28"/>
  <c r="E2076" i="28"/>
  <c r="F2076" i="28"/>
  <c r="G2076" i="28"/>
  <c r="H2076" i="28"/>
  <c r="I2076" i="28"/>
  <c r="J2076" i="28"/>
  <c r="K2076" i="28"/>
  <c r="L2076" i="28"/>
  <c r="M2076" i="28"/>
  <c r="N2076" i="28"/>
  <c r="O2076" i="28"/>
  <c r="P2076" i="28"/>
  <c r="Q2076" i="28"/>
  <c r="R2076" i="28"/>
  <c r="S2076" i="28"/>
  <c r="T2076" i="28"/>
  <c r="U2076" i="28"/>
  <c r="V2076" i="28"/>
  <c r="W2076" i="28"/>
  <c r="X2076" i="28"/>
  <c r="Y2076" i="28"/>
  <c r="Z2076" i="28"/>
  <c r="AA2076" i="28"/>
  <c r="AB2076" i="28"/>
  <c r="AC2076" i="28"/>
  <c r="AD2076" i="28"/>
  <c r="AE2076" i="28"/>
  <c r="AF2076" i="28"/>
  <c r="AG2076" i="28"/>
  <c r="B2077" i="28"/>
  <c r="C2077" i="28"/>
  <c r="D2077" i="28"/>
  <c r="E2077" i="28"/>
  <c r="F2077" i="28"/>
  <c r="G2077" i="28"/>
  <c r="H2077" i="28"/>
  <c r="I2077" i="28"/>
  <c r="J2077" i="28"/>
  <c r="K2077" i="28"/>
  <c r="L2077" i="28"/>
  <c r="M2077" i="28"/>
  <c r="N2077" i="28"/>
  <c r="O2077" i="28"/>
  <c r="P2077" i="28"/>
  <c r="Q2077" i="28"/>
  <c r="R2077" i="28"/>
  <c r="S2077" i="28"/>
  <c r="T2077" i="28"/>
  <c r="U2077" i="28"/>
  <c r="V2077" i="28"/>
  <c r="W2077" i="28"/>
  <c r="X2077" i="28"/>
  <c r="Y2077" i="28"/>
  <c r="Z2077" i="28"/>
  <c r="AA2077" i="28"/>
  <c r="AB2077" i="28"/>
  <c r="AC2077" i="28"/>
  <c r="AD2077" i="28"/>
  <c r="AE2077" i="28"/>
  <c r="AF2077" i="28"/>
  <c r="AG2077" i="28"/>
  <c r="B2078" i="28"/>
  <c r="C2078" i="28"/>
  <c r="D2078" i="28"/>
  <c r="E2078" i="28"/>
  <c r="F2078" i="28"/>
  <c r="G2078" i="28"/>
  <c r="H2078" i="28"/>
  <c r="I2078" i="28"/>
  <c r="J2078" i="28"/>
  <c r="K2078" i="28"/>
  <c r="L2078" i="28"/>
  <c r="M2078" i="28"/>
  <c r="N2078" i="28"/>
  <c r="O2078" i="28"/>
  <c r="P2078" i="28"/>
  <c r="Q2078" i="28"/>
  <c r="R2078" i="28"/>
  <c r="S2078" i="28"/>
  <c r="T2078" i="28"/>
  <c r="U2078" i="28"/>
  <c r="V2078" i="28"/>
  <c r="W2078" i="28"/>
  <c r="X2078" i="28"/>
  <c r="Y2078" i="28"/>
  <c r="Z2078" i="28"/>
  <c r="AA2078" i="28"/>
  <c r="AB2078" i="28"/>
  <c r="AC2078" i="28"/>
  <c r="AD2078" i="28"/>
  <c r="AE2078" i="28"/>
  <c r="AF2078" i="28"/>
  <c r="AG2078" i="28"/>
  <c r="B2079" i="28"/>
  <c r="C2079" i="28"/>
  <c r="D2079" i="28"/>
  <c r="E2079" i="28"/>
  <c r="F2079" i="28"/>
  <c r="G2079" i="28"/>
  <c r="H2079" i="28"/>
  <c r="I2079" i="28"/>
  <c r="J2079" i="28"/>
  <c r="K2079" i="28"/>
  <c r="L2079" i="28"/>
  <c r="M2079" i="28"/>
  <c r="N2079" i="28"/>
  <c r="O2079" i="28"/>
  <c r="P2079" i="28"/>
  <c r="Q2079" i="28"/>
  <c r="R2079" i="28"/>
  <c r="S2079" i="28"/>
  <c r="T2079" i="28"/>
  <c r="U2079" i="28"/>
  <c r="V2079" i="28"/>
  <c r="W2079" i="28"/>
  <c r="X2079" i="28"/>
  <c r="Y2079" i="28"/>
  <c r="Z2079" i="28"/>
  <c r="AA2079" i="28"/>
  <c r="AB2079" i="28"/>
  <c r="AC2079" i="28"/>
  <c r="AD2079" i="28"/>
  <c r="AE2079" i="28"/>
  <c r="AF2079" i="28"/>
  <c r="AG2079" i="28"/>
  <c r="B2080" i="28"/>
  <c r="C2080" i="28"/>
  <c r="D2080" i="28"/>
  <c r="E2080" i="28"/>
  <c r="F2080" i="28"/>
  <c r="G2080" i="28"/>
  <c r="H2080" i="28"/>
  <c r="I2080" i="28"/>
  <c r="J2080" i="28"/>
  <c r="K2080" i="28"/>
  <c r="L2080" i="28"/>
  <c r="M2080" i="28"/>
  <c r="N2080" i="28"/>
  <c r="O2080" i="28"/>
  <c r="P2080" i="28"/>
  <c r="Q2080" i="28"/>
  <c r="R2080" i="28"/>
  <c r="S2080" i="28"/>
  <c r="T2080" i="28"/>
  <c r="U2080" i="28"/>
  <c r="V2080" i="28"/>
  <c r="W2080" i="28"/>
  <c r="X2080" i="28"/>
  <c r="Y2080" i="28"/>
  <c r="Z2080" i="28"/>
  <c r="AA2080" i="28"/>
  <c r="AB2080" i="28"/>
  <c r="AC2080" i="28"/>
  <c r="AD2080" i="28"/>
  <c r="AE2080" i="28"/>
  <c r="AF2080" i="28"/>
  <c r="AG2080" i="28"/>
  <c r="B2081" i="28"/>
  <c r="C2081" i="28"/>
  <c r="D2081" i="28"/>
  <c r="E2081" i="28"/>
  <c r="F2081" i="28"/>
  <c r="G2081" i="28"/>
  <c r="H2081" i="28"/>
  <c r="I2081" i="28"/>
  <c r="J2081" i="28"/>
  <c r="K2081" i="28"/>
  <c r="L2081" i="28"/>
  <c r="M2081" i="28"/>
  <c r="N2081" i="28"/>
  <c r="O2081" i="28"/>
  <c r="P2081" i="28"/>
  <c r="Q2081" i="28"/>
  <c r="R2081" i="28"/>
  <c r="S2081" i="28"/>
  <c r="T2081" i="28"/>
  <c r="U2081" i="28"/>
  <c r="V2081" i="28"/>
  <c r="W2081" i="28"/>
  <c r="X2081" i="28"/>
  <c r="Y2081" i="28"/>
  <c r="Z2081" i="28"/>
  <c r="AA2081" i="28"/>
  <c r="AB2081" i="28"/>
  <c r="AC2081" i="28"/>
  <c r="AD2081" i="28"/>
  <c r="AE2081" i="28"/>
  <c r="AF2081" i="28"/>
  <c r="AG2081" i="28"/>
  <c r="B2082" i="28"/>
  <c r="C2082" i="28"/>
  <c r="D2082" i="28"/>
  <c r="E2082" i="28"/>
  <c r="F2082" i="28"/>
  <c r="G2082" i="28"/>
  <c r="H2082" i="28"/>
  <c r="I2082" i="28"/>
  <c r="J2082" i="28"/>
  <c r="K2082" i="28"/>
  <c r="L2082" i="28"/>
  <c r="M2082" i="28"/>
  <c r="N2082" i="28"/>
  <c r="O2082" i="28"/>
  <c r="P2082" i="28"/>
  <c r="Q2082" i="28"/>
  <c r="R2082" i="28"/>
  <c r="S2082" i="28"/>
  <c r="T2082" i="28"/>
  <c r="U2082" i="28"/>
  <c r="V2082" i="28"/>
  <c r="W2082" i="28"/>
  <c r="X2082" i="28"/>
  <c r="Y2082" i="28"/>
  <c r="Z2082" i="28"/>
  <c r="AA2082" i="28"/>
  <c r="AB2082" i="28"/>
  <c r="AC2082" i="28"/>
  <c r="AD2082" i="28"/>
  <c r="AE2082" i="28"/>
  <c r="AF2082" i="28"/>
  <c r="AG2082" i="28"/>
  <c r="B2083" i="28"/>
  <c r="C2083" i="28"/>
  <c r="D2083" i="28"/>
  <c r="E2083" i="28"/>
  <c r="F2083" i="28"/>
  <c r="G2083" i="28"/>
  <c r="H2083" i="28"/>
  <c r="I2083" i="28"/>
  <c r="J2083" i="28"/>
  <c r="K2083" i="28"/>
  <c r="L2083" i="28"/>
  <c r="M2083" i="28"/>
  <c r="N2083" i="28"/>
  <c r="O2083" i="28"/>
  <c r="P2083" i="28"/>
  <c r="Q2083" i="28"/>
  <c r="R2083" i="28"/>
  <c r="S2083" i="28"/>
  <c r="T2083" i="28"/>
  <c r="U2083" i="28"/>
  <c r="V2083" i="28"/>
  <c r="W2083" i="28"/>
  <c r="X2083" i="28"/>
  <c r="Y2083" i="28"/>
  <c r="Z2083" i="28"/>
  <c r="AA2083" i="28"/>
  <c r="AB2083" i="28"/>
  <c r="AC2083" i="28"/>
  <c r="AD2083" i="28"/>
  <c r="AE2083" i="28"/>
  <c r="AF2083" i="28"/>
  <c r="AG2083" i="28"/>
  <c r="B2084" i="28"/>
  <c r="C2084" i="28"/>
  <c r="D2084" i="28"/>
  <c r="E2084" i="28"/>
  <c r="F2084" i="28"/>
  <c r="G2084" i="28"/>
  <c r="H2084" i="28"/>
  <c r="I2084" i="28"/>
  <c r="J2084" i="28"/>
  <c r="K2084" i="28"/>
  <c r="L2084" i="28"/>
  <c r="M2084" i="28"/>
  <c r="N2084" i="28"/>
  <c r="O2084" i="28"/>
  <c r="P2084" i="28"/>
  <c r="Q2084" i="28"/>
  <c r="R2084" i="28"/>
  <c r="S2084" i="28"/>
  <c r="T2084" i="28"/>
  <c r="U2084" i="28"/>
  <c r="V2084" i="28"/>
  <c r="W2084" i="28"/>
  <c r="X2084" i="28"/>
  <c r="Y2084" i="28"/>
  <c r="Z2084" i="28"/>
  <c r="AA2084" i="28"/>
  <c r="AB2084" i="28"/>
  <c r="AC2084" i="28"/>
  <c r="AD2084" i="28"/>
  <c r="AE2084" i="28"/>
  <c r="AF2084" i="28"/>
  <c r="AG2084" i="28"/>
  <c r="B2085" i="28"/>
  <c r="C2085" i="28"/>
  <c r="D2085" i="28"/>
  <c r="E2085" i="28"/>
  <c r="F2085" i="28"/>
  <c r="G2085" i="28"/>
  <c r="H2085" i="28"/>
  <c r="I2085" i="28"/>
  <c r="J2085" i="28"/>
  <c r="K2085" i="28"/>
  <c r="L2085" i="28"/>
  <c r="M2085" i="28"/>
  <c r="N2085" i="28"/>
  <c r="O2085" i="28"/>
  <c r="P2085" i="28"/>
  <c r="Q2085" i="28"/>
  <c r="R2085" i="28"/>
  <c r="S2085" i="28"/>
  <c r="T2085" i="28"/>
  <c r="U2085" i="28"/>
  <c r="V2085" i="28"/>
  <c r="W2085" i="28"/>
  <c r="X2085" i="28"/>
  <c r="Y2085" i="28"/>
  <c r="Z2085" i="28"/>
  <c r="AA2085" i="28"/>
  <c r="AB2085" i="28"/>
  <c r="AC2085" i="28"/>
  <c r="AD2085" i="28"/>
  <c r="AE2085" i="28"/>
  <c r="AF2085" i="28"/>
  <c r="AG2085" i="28"/>
  <c r="B2086" i="28"/>
  <c r="C2086" i="28"/>
  <c r="D2086" i="28"/>
  <c r="E2086" i="28"/>
  <c r="F2086" i="28"/>
  <c r="G2086" i="28"/>
  <c r="H2086" i="28"/>
  <c r="I2086" i="28"/>
  <c r="J2086" i="28"/>
  <c r="K2086" i="28"/>
  <c r="L2086" i="28"/>
  <c r="M2086" i="28"/>
  <c r="N2086" i="28"/>
  <c r="O2086" i="28"/>
  <c r="P2086" i="28"/>
  <c r="Q2086" i="28"/>
  <c r="R2086" i="28"/>
  <c r="S2086" i="28"/>
  <c r="T2086" i="28"/>
  <c r="U2086" i="28"/>
  <c r="V2086" i="28"/>
  <c r="W2086" i="28"/>
  <c r="X2086" i="28"/>
  <c r="Y2086" i="28"/>
  <c r="Z2086" i="28"/>
  <c r="AA2086" i="28"/>
  <c r="AB2086" i="28"/>
  <c r="AC2086" i="28"/>
  <c r="AD2086" i="28"/>
  <c r="AE2086" i="28"/>
  <c r="AF2086" i="28"/>
  <c r="AG2086" i="28"/>
  <c r="B2087" i="28"/>
  <c r="C2087" i="28"/>
  <c r="D2087" i="28"/>
  <c r="E2087" i="28"/>
  <c r="F2087" i="28"/>
  <c r="G2087" i="28"/>
  <c r="H2087" i="28"/>
  <c r="I2087" i="28"/>
  <c r="J2087" i="28"/>
  <c r="K2087" i="28"/>
  <c r="L2087" i="28"/>
  <c r="M2087" i="28"/>
  <c r="N2087" i="28"/>
  <c r="O2087" i="28"/>
  <c r="P2087" i="28"/>
  <c r="Q2087" i="28"/>
  <c r="R2087" i="28"/>
  <c r="S2087" i="28"/>
  <c r="T2087" i="28"/>
  <c r="U2087" i="28"/>
  <c r="V2087" i="28"/>
  <c r="W2087" i="28"/>
  <c r="X2087" i="28"/>
  <c r="Y2087" i="28"/>
  <c r="Z2087" i="28"/>
  <c r="AA2087" i="28"/>
  <c r="AB2087" i="28"/>
  <c r="AC2087" i="28"/>
  <c r="AD2087" i="28"/>
  <c r="AE2087" i="28"/>
  <c r="AF2087" i="28"/>
  <c r="AG2087" i="28"/>
  <c r="B2088" i="28"/>
  <c r="C2088" i="28"/>
  <c r="D2088" i="28"/>
  <c r="E2088" i="28"/>
  <c r="F2088" i="28"/>
  <c r="G2088" i="28"/>
  <c r="H2088" i="28"/>
  <c r="I2088" i="28"/>
  <c r="J2088" i="28"/>
  <c r="K2088" i="28"/>
  <c r="L2088" i="28"/>
  <c r="M2088" i="28"/>
  <c r="N2088" i="28"/>
  <c r="O2088" i="28"/>
  <c r="P2088" i="28"/>
  <c r="Q2088" i="28"/>
  <c r="R2088" i="28"/>
  <c r="S2088" i="28"/>
  <c r="T2088" i="28"/>
  <c r="U2088" i="28"/>
  <c r="V2088" i="28"/>
  <c r="W2088" i="28"/>
  <c r="X2088" i="28"/>
  <c r="Y2088" i="28"/>
  <c r="Z2088" i="28"/>
  <c r="AA2088" i="28"/>
  <c r="AB2088" i="28"/>
  <c r="AC2088" i="28"/>
  <c r="AD2088" i="28"/>
  <c r="AE2088" i="28"/>
  <c r="AF2088" i="28"/>
  <c r="AG2088" i="28"/>
  <c r="B2089" i="28"/>
  <c r="C2089" i="28"/>
  <c r="D2089" i="28"/>
  <c r="E2089" i="28"/>
  <c r="F2089" i="28"/>
  <c r="G2089" i="28"/>
  <c r="H2089" i="28"/>
  <c r="I2089" i="28"/>
  <c r="J2089" i="28"/>
  <c r="K2089" i="28"/>
  <c r="L2089" i="28"/>
  <c r="M2089" i="28"/>
  <c r="N2089" i="28"/>
  <c r="O2089" i="28"/>
  <c r="P2089" i="28"/>
  <c r="Q2089" i="28"/>
  <c r="R2089" i="28"/>
  <c r="S2089" i="28"/>
  <c r="T2089" i="28"/>
  <c r="U2089" i="28"/>
  <c r="V2089" i="28"/>
  <c r="W2089" i="28"/>
  <c r="X2089" i="28"/>
  <c r="Y2089" i="28"/>
  <c r="Z2089" i="28"/>
  <c r="AA2089" i="28"/>
  <c r="AB2089" i="28"/>
  <c r="AC2089" i="28"/>
  <c r="AD2089" i="28"/>
  <c r="AE2089" i="28"/>
  <c r="AF2089" i="28"/>
  <c r="AG2089" i="28"/>
  <c r="B2090" i="28"/>
  <c r="C2090" i="28"/>
  <c r="D2090" i="28"/>
  <c r="E2090" i="28"/>
  <c r="F2090" i="28"/>
  <c r="G2090" i="28"/>
  <c r="H2090" i="28"/>
  <c r="I2090" i="28"/>
  <c r="J2090" i="28"/>
  <c r="K2090" i="28"/>
  <c r="L2090" i="28"/>
  <c r="M2090" i="28"/>
  <c r="N2090" i="28"/>
  <c r="O2090" i="28"/>
  <c r="P2090" i="28"/>
  <c r="Q2090" i="28"/>
  <c r="R2090" i="28"/>
  <c r="S2090" i="28"/>
  <c r="T2090" i="28"/>
  <c r="U2090" i="28"/>
  <c r="V2090" i="28"/>
  <c r="W2090" i="28"/>
  <c r="X2090" i="28"/>
  <c r="Y2090" i="28"/>
  <c r="Z2090" i="28"/>
  <c r="AA2090" i="28"/>
  <c r="AB2090" i="28"/>
  <c r="AC2090" i="28"/>
  <c r="AD2090" i="28"/>
  <c r="AE2090" i="28"/>
  <c r="AF2090" i="28"/>
  <c r="AG2090" i="28"/>
  <c r="B2091" i="28"/>
  <c r="C2091" i="28"/>
  <c r="D2091" i="28"/>
  <c r="E2091" i="28"/>
  <c r="F2091" i="28"/>
  <c r="G2091" i="28"/>
  <c r="H2091" i="28"/>
  <c r="I2091" i="28"/>
  <c r="J2091" i="28"/>
  <c r="K2091" i="28"/>
  <c r="L2091" i="28"/>
  <c r="M2091" i="28"/>
  <c r="N2091" i="28"/>
  <c r="O2091" i="28"/>
  <c r="P2091" i="28"/>
  <c r="Q2091" i="28"/>
  <c r="R2091" i="28"/>
  <c r="S2091" i="28"/>
  <c r="T2091" i="28"/>
  <c r="U2091" i="28"/>
  <c r="V2091" i="28"/>
  <c r="W2091" i="28"/>
  <c r="X2091" i="28"/>
  <c r="Y2091" i="28"/>
  <c r="Z2091" i="28"/>
  <c r="AA2091" i="28"/>
  <c r="AB2091" i="28"/>
  <c r="AC2091" i="28"/>
  <c r="AD2091" i="28"/>
  <c r="AE2091" i="28"/>
  <c r="AF2091" i="28"/>
  <c r="AG2091" i="28"/>
  <c r="B2092" i="28"/>
  <c r="C2092" i="28"/>
  <c r="D2092" i="28"/>
  <c r="E2092" i="28"/>
  <c r="F2092" i="28"/>
  <c r="G2092" i="28"/>
  <c r="H2092" i="28"/>
  <c r="I2092" i="28"/>
  <c r="J2092" i="28"/>
  <c r="K2092" i="28"/>
  <c r="L2092" i="28"/>
  <c r="M2092" i="28"/>
  <c r="N2092" i="28"/>
  <c r="O2092" i="28"/>
  <c r="P2092" i="28"/>
  <c r="Q2092" i="28"/>
  <c r="R2092" i="28"/>
  <c r="S2092" i="28"/>
  <c r="T2092" i="28"/>
  <c r="U2092" i="28"/>
  <c r="V2092" i="28"/>
  <c r="W2092" i="28"/>
  <c r="X2092" i="28"/>
  <c r="Y2092" i="28"/>
  <c r="Z2092" i="28"/>
  <c r="AA2092" i="28"/>
  <c r="AB2092" i="28"/>
  <c r="AC2092" i="28"/>
  <c r="AD2092" i="28"/>
  <c r="AE2092" i="28"/>
  <c r="AF2092" i="28"/>
  <c r="AG2092" i="28"/>
  <c r="B2093" i="28"/>
  <c r="C2093" i="28"/>
  <c r="D2093" i="28"/>
  <c r="E2093" i="28"/>
  <c r="F2093" i="28"/>
  <c r="G2093" i="28"/>
  <c r="H2093" i="28"/>
  <c r="I2093" i="28"/>
  <c r="J2093" i="28"/>
  <c r="K2093" i="28"/>
  <c r="L2093" i="28"/>
  <c r="M2093" i="28"/>
  <c r="N2093" i="28"/>
  <c r="O2093" i="28"/>
  <c r="P2093" i="28"/>
  <c r="Q2093" i="28"/>
  <c r="R2093" i="28"/>
  <c r="S2093" i="28"/>
  <c r="T2093" i="28"/>
  <c r="U2093" i="28"/>
  <c r="V2093" i="28"/>
  <c r="W2093" i="28"/>
  <c r="X2093" i="28"/>
  <c r="Y2093" i="28"/>
  <c r="Z2093" i="28"/>
  <c r="AA2093" i="28"/>
  <c r="AB2093" i="28"/>
  <c r="AC2093" i="28"/>
  <c r="AD2093" i="28"/>
  <c r="AE2093" i="28"/>
  <c r="AF2093" i="28"/>
  <c r="AG2093" i="28"/>
  <c r="B2094" i="28"/>
  <c r="C2094" i="28"/>
  <c r="D2094" i="28"/>
  <c r="E2094" i="28"/>
  <c r="F2094" i="28"/>
  <c r="G2094" i="28"/>
  <c r="H2094" i="28"/>
  <c r="I2094" i="28"/>
  <c r="J2094" i="28"/>
  <c r="K2094" i="28"/>
  <c r="L2094" i="28"/>
  <c r="M2094" i="28"/>
  <c r="N2094" i="28"/>
  <c r="O2094" i="28"/>
  <c r="P2094" i="28"/>
  <c r="Q2094" i="28"/>
  <c r="R2094" i="28"/>
  <c r="S2094" i="28"/>
  <c r="T2094" i="28"/>
  <c r="U2094" i="28"/>
  <c r="V2094" i="28"/>
  <c r="W2094" i="28"/>
  <c r="X2094" i="28"/>
  <c r="Y2094" i="28"/>
  <c r="Z2094" i="28"/>
  <c r="AA2094" i="28"/>
  <c r="AB2094" i="28"/>
  <c r="AC2094" i="28"/>
  <c r="AD2094" i="28"/>
  <c r="AE2094" i="28"/>
  <c r="AF2094" i="28"/>
  <c r="AG2094" i="28"/>
  <c r="B2095" i="28"/>
  <c r="C2095" i="28"/>
  <c r="D2095" i="28"/>
  <c r="E2095" i="28"/>
  <c r="F2095" i="28"/>
  <c r="G2095" i="28"/>
  <c r="H2095" i="28"/>
  <c r="I2095" i="28"/>
  <c r="J2095" i="28"/>
  <c r="K2095" i="28"/>
  <c r="L2095" i="28"/>
  <c r="M2095" i="28"/>
  <c r="N2095" i="28"/>
  <c r="O2095" i="28"/>
  <c r="P2095" i="28"/>
  <c r="Q2095" i="28"/>
  <c r="R2095" i="28"/>
  <c r="S2095" i="28"/>
  <c r="T2095" i="28"/>
  <c r="U2095" i="28"/>
  <c r="V2095" i="28"/>
  <c r="W2095" i="28"/>
  <c r="X2095" i="28"/>
  <c r="Y2095" i="28"/>
  <c r="Z2095" i="28"/>
  <c r="AA2095" i="28"/>
  <c r="AB2095" i="28"/>
  <c r="AC2095" i="28"/>
  <c r="AD2095" i="28"/>
  <c r="AE2095" i="28"/>
  <c r="AF2095" i="28"/>
  <c r="AG2095" i="28"/>
  <c r="B2096" i="28"/>
  <c r="C2096" i="28"/>
  <c r="D2096" i="28"/>
  <c r="E2096" i="28"/>
  <c r="F2096" i="28"/>
  <c r="G2096" i="28"/>
  <c r="H2096" i="28"/>
  <c r="I2096" i="28"/>
  <c r="J2096" i="28"/>
  <c r="K2096" i="28"/>
  <c r="L2096" i="28"/>
  <c r="M2096" i="28"/>
  <c r="N2096" i="28"/>
  <c r="O2096" i="28"/>
  <c r="P2096" i="28"/>
  <c r="Q2096" i="28"/>
  <c r="R2096" i="28"/>
  <c r="S2096" i="28"/>
  <c r="T2096" i="28"/>
  <c r="U2096" i="28"/>
  <c r="V2096" i="28"/>
  <c r="W2096" i="28"/>
  <c r="X2096" i="28"/>
  <c r="Y2096" i="28"/>
  <c r="Z2096" i="28"/>
  <c r="AA2096" i="28"/>
  <c r="AB2096" i="28"/>
  <c r="AC2096" i="28"/>
  <c r="AD2096" i="28"/>
  <c r="AE2096" i="28"/>
  <c r="AF2096" i="28"/>
  <c r="AG2096" i="28"/>
  <c r="B2097" i="28"/>
  <c r="C2097" i="28"/>
  <c r="D2097" i="28"/>
  <c r="E2097" i="28"/>
  <c r="F2097" i="28"/>
  <c r="G2097" i="28"/>
  <c r="H2097" i="28"/>
  <c r="I2097" i="28"/>
  <c r="J2097" i="28"/>
  <c r="K2097" i="28"/>
  <c r="L2097" i="28"/>
  <c r="M2097" i="28"/>
  <c r="N2097" i="28"/>
  <c r="O2097" i="28"/>
  <c r="P2097" i="28"/>
  <c r="Q2097" i="28"/>
  <c r="R2097" i="28"/>
  <c r="S2097" i="28"/>
  <c r="T2097" i="28"/>
  <c r="U2097" i="28"/>
  <c r="V2097" i="28"/>
  <c r="W2097" i="28"/>
  <c r="X2097" i="28"/>
  <c r="Y2097" i="28"/>
  <c r="Z2097" i="28"/>
  <c r="AA2097" i="28"/>
  <c r="AB2097" i="28"/>
  <c r="AC2097" i="28"/>
  <c r="AD2097" i="28"/>
  <c r="AE2097" i="28"/>
  <c r="AF2097" i="28"/>
  <c r="AG2097" i="28"/>
  <c r="B2098" i="28"/>
  <c r="C2098" i="28"/>
  <c r="D2098" i="28"/>
  <c r="E2098" i="28"/>
  <c r="F2098" i="28"/>
  <c r="G2098" i="28"/>
  <c r="H2098" i="28"/>
  <c r="I2098" i="28"/>
  <c r="J2098" i="28"/>
  <c r="K2098" i="28"/>
  <c r="L2098" i="28"/>
  <c r="M2098" i="28"/>
  <c r="N2098" i="28"/>
  <c r="O2098" i="28"/>
  <c r="P2098" i="28"/>
  <c r="Q2098" i="28"/>
  <c r="R2098" i="28"/>
  <c r="S2098" i="28"/>
  <c r="T2098" i="28"/>
  <c r="U2098" i="28"/>
  <c r="V2098" i="28"/>
  <c r="W2098" i="28"/>
  <c r="X2098" i="28"/>
  <c r="Y2098" i="28"/>
  <c r="Z2098" i="28"/>
  <c r="AA2098" i="28"/>
  <c r="AB2098" i="28"/>
  <c r="AC2098" i="28"/>
  <c r="AD2098" i="28"/>
  <c r="AE2098" i="28"/>
  <c r="AF2098" i="28"/>
  <c r="AG2098" i="28"/>
  <c r="B2099" i="28"/>
  <c r="C2099" i="28"/>
  <c r="D2099" i="28"/>
  <c r="E2099" i="28"/>
  <c r="F2099" i="28"/>
  <c r="G2099" i="28"/>
  <c r="H2099" i="28"/>
  <c r="I2099" i="28"/>
  <c r="J2099" i="28"/>
  <c r="K2099" i="28"/>
  <c r="L2099" i="28"/>
  <c r="M2099" i="28"/>
  <c r="N2099" i="28"/>
  <c r="O2099" i="28"/>
  <c r="P2099" i="28"/>
  <c r="Q2099" i="28"/>
  <c r="R2099" i="28"/>
  <c r="S2099" i="28"/>
  <c r="T2099" i="28"/>
  <c r="U2099" i="28"/>
  <c r="V2099" i="28"/>
  <c r="W2099" i="28"/>
  <c r="X2099" i="28"/>
  <c r="Y2099" i="28"/>
  <c r="Z2099" i="28"/>
  <c r="AA2099" i="28"/>
  <c r="AB2099" i="28"/>
  <c r="AC2099" i="28"/>
  <c r="AD2099" i="28"/>
  <c r="AE2099" i="28"/>
  <c r="AF2099" i="28"/>
  <c r="AG2099" i="28"/>
  <c r="B2100" i="28"/>
  <c r="C2100" i="28"/>
  <c r="D2100" i="28"/>
  <c r="E2100" i="28"/>
  <c r="F2100" i="28"/>
  <c r="G2100" i="28"/>
  <c r="H2100" i="28"/>
  <c r="I2100" i="28"/>
  <c r="J2100" i="28"/>
  <c r="K2100" i="28"/>
  <c r="L2100" i="28"/>
  <c r="M2100" i="28"/>
  <c r="N2100" i="28"/>
  <c r="O2100" i="28"/>
  <c r="P2100" i="28"/>
  <c r="Q2100" i="28"/>
  <c r="R2100" i="28"/>
  <c r="S2100" i="28"/>
  <c r="T2100" i="28"/>
  <c r="U2100" i="28"/>
  <c r="V2100" i="28"/>
  <c r="W2100" i="28"/>
  <c r="X2100" i="28"/>
  <c r="Y2100" i="28"/>
  <c r="Z2100" i="28"/>
  <c r="AA2100" i="28"/>
  <c r="AB2100" i="28"/>
  <c r="AC2100" i="28"/>
  <c r="AD2100" i="28"/>
  <c r="AE2100" i="28"/>
  <c r="AF2100" i="28"/>
  <c r="AG2100" i="28"/>
  <c r="B2101" i="28"/>
  <c r="C2101" i="28"/>
  <c r="D2101" i="28"/>
  <c r="E2101" i="28"/>
  <c r="F2101" i="28"/>
  <c r="G2101" i="28"/>
  <c r="H2101" i="28"/>
  <c r="I2101" i="28"/>
  <c r="J2101" i="28"/>
  <c r="K2101" i="28"/>
  <c r="L2101" i="28"/>
  <c r="M2101" i="28"/>
  <c r="N2101" i="28"/>
  <c r="O2101" i="28"/>
  <c r="P2101" i="28"/>
  <c r="Q2101" i="28"/>
  <c r="R2101" i="28"/>
  <c r="S2101" i="28"/>
  <c r="T2101" i="28"/>
  <c r="U2101" i="28"/>
  <c r="V2101" i="28"/>
  <c r="W2101" i="28"/>
  <c r="X2101" i="28"/>
  <c r="Y2101" i="28"/>
  <c r="Z2101" i="28"/>
  <c r="AA2101" i="28"/>
  <c r="AB2101" i="28"/>
  <c r="AC2101" i="28"/>
  <c r="AD2101" i="28"/>
  <c r="AE2101" i="28"/>
  <c r="AF2101" i="28"/>
  <c r="AG2101" i="28"/>
  <c r="B2102" i="28"/>
  <c r="C2102" i="28"/>
  <c r="D2102" i="28"/>
  <c r="E2102" i="28"/>
  <c r="F2102" i="28"/>
  <c r="G2102" i="28"/>
  <c r="H2102" i="28"/>
  <c r="I2102" i="28"/>
  <c r="J2102" i="28"/>
  <c r="K2102" i="28"/>
  <c r="L2102" i="28"/>
  <c r="M2102" i="28"/>
  <c r="N2102" i="28"/>
  <c r="O2102" i="28"/>
  <c r="P2102" i="28"/>
  <c r="Q2102" i="28"/>
  <c r="R2102" i="28"/>
  <c r="S2102" i="28"/>
  <c r="T2102" i="28"/>
  <c r="U2102" i="28"/>
  <c r="V2102" i="28"/>
  <c r="W2102" i="28"/>
  <c r="X2102" i="28"/>
  <c r="Y2102" i="28"/>
  <c r="Z2102" i="28"/>
  <c r="AA2102" i="28"/>
  <c r="AB2102" i="28"/>
  <c r="AC2102" i="28"/>
  <c r="AD2102" i="28"/>
  <c r="AE2102" i="28"/>
  <c r="AF2102" i="28"/>
  <c r="AG2102" i="28"/>
  <c r="B2103" i="28"/>
  <c r="C2103" i="28"/>
  <c r="D2103" i="28"/>
  <c r="E2103" i="28"/>
  <c r="F2103" i="28"/>
  <c r="G2103" i="28"/>
  <c r="H2103" i="28"/>
  <c r="I2103" i="28"/>
  <c r="J2103" i="28"/>
  <c r="K2103" i="28"/>
  <c r="L2103" i="28"/>
  <c r="M2103" i="28"/>
  <c r="N2103" i="28"/>
  <c r="O2103" i="28"/>
  <c r="P2103" i="28"/>
  <c r="Q2103" i="28"/>
  <c r="R2103" i="28"/>
  <c r="S2103" i="28"/>
  <c r="T2103" i="28"/>
  <c r="U2103" i="28"/>
  <c r="V2103" i="28"/>
  <c r="W2103" i="28"/>
  <c r="X2103" i="28"/>
  <c r="Y2103" i="28"/>
  <c r="Z2103" i="28"/>
  <c r="AA2103" i="28"/>
  <c r="AB2103" i="28"/>
  <c r="AC2103" i="28"/>
  <c r="AD2103" i="28"/>
  <c r="AE2103" i="28"/>
  <c r="AF2103" i="28"/>
  <c r="AG2103" i="28"/>
  <c r="B2104" i="28"/>
  <c r="C2104" i="28"/>
  <c r="D2104" i="28"/>
  <c r="E2104" i="28"/>
  <c r="F2104" i="28"/>
  <c r="G2104" i="28"/>
  <c r="H2104" i="28"/>
  <c r="I2104" i="28"/>
  <c r="J2104" i="28"/>
  <c r="K2104" i="28"/>
  <c r="L2104" i="28"/>
  <c r="M2104" i="28"/>
  <c r="N2104" i="28"/>
  <c r="O2104" i="28"/>
  <c r="P2104" i="28"/>
  <c r="Q2104" i="28"/>
  <c r="R2104" i="28"/>
  <c r="S2104" i="28"/>
  <c r="T2104" i="28"/>
  <c r="U2104" i="28"/>
  <c r="V2104" i="28"/>
  <c r="W2104" i="28"/>
  <c r="X2104" i="28"/>
  <c r="Y2104" i="28"/>
  <c r="Z2104" i="28"/>
  <c r="AA2104" i="28"/>
  <c r="AB2104" i="28"/>
  <c r="AC2104" i="28"/>
  <c r="AD2104" i="28"/>
  <c r="AE2104" i="28"/>
  <c r="AF2104" i="28"/>
  <c r="AG2104" i="28"/>
  <c r="B2105" i="28"/>
  <c r="C2105" i="28"/>
  <c r="D2105" i="28"/>
  <c r="E2105" i="28"/>
  <c r="F2105" i="28"/>
  <c r="G2105" i="28"/>
  <c r="H2105" i="28"/>
  <c r="I2105" i="28"/>
  <c r="J2105" i="28"/>
  <c r="K2105" i="28"/>
  <c r="L2105" i="28"/>
  <c r="M2105" i="28"/>
  <c r="N2105" i="28"/>
  <c r="O2105" i="28"/>
  <c r="P2105" i="28"/>
  <c r="Q2105" i="28"/>
  <c r="R2105" i="28"/>
  <c r="S2105" i="28"/>
  <c r="T2105" i="28"/>
  <c r="U2105" i="28"/>
  <c r="V2105" i="28"/>
  <c r="W2105" i="28"/>
  <c r="X2105" i="28"/>
  <c r="Y2105" i="28"/>
  <c r="Z2105" i="28"/>
  <c r="AA2105" i="28"/>
  <c r="AB2105" i="28"/>
  <c r="AC2105" i="28"/>
  <c r="AD2105" i="28"/>
  <c r="AE2105" i="28"/>
  <c r="AF2105" i="28"/>
  <c r="AG2105" i="28"/>
  <c r="B2106" i="28"/>
  <c r="C2106" i="28"/>
  <c r="D2106" i="28"/>
  <c r="E2106" i="28"/>
  <c r="F2106" i="28"/>
  <c r="G2106" i="28"/>
  <c r="H2106" i="28"/>
  <c r="I2106" i="28"/>
  <c r="J2106" i="28"/>
  <c r="K2106" i="28"/>
  <c r="L2106" i="28"/>
  <c r="M2106" i="28"/>
  <c r="N2106" i="28"/>
  <c r="O2106" i="28"/>
  <c r="P2106" i="28"/>
  <c r="Q2106" i="28"/>
  <c r="R2106" i="28"/>
  <c r="S2106" i="28"/>
  <c r="T2106" i="28"/>
  <c r="U2106" i="28"/>
  <c r="V2106" i="28"/>
  <c r="W2106" i="28"/>
  <c r="X2106" i="28"/>
  <c r="Y2106" i="28"/>
  <c r="Z2106" i="28"/>
  <c r="AA2106" i="28"/>
  <c r="AB2106" i="28"/>
  <c r="AC2106" i="28"/>
  <c r="AD2106" i="28"/>
  <c r="AE2106" i="28"/>
  <c r="AF2106" i="28"/>
  <c r="AG2106" i="28"/>
  <c r="B2107" i="28"/>
  <c r="C2107" i="28"/>
  <c r="D2107" i="28"/>
  <c r="E2107" i="28"/>
  <c r="F2107" i="28"/>
  <c r="G2107" i="28"/>
  <c r="H2107" i="28"/>
  <c r="I2107" i="28"/>
  <c r="J2107" i="28"/>
  <c r="K2107" i="28"/>
  <c r="L2107" i="28"/>
  <c r="M2107" i="28"/>
  <c r="N2107" i="28"/>
  <c r="O2107" i="28"/>
  <c r="P2107" i="28"/>
  <c r="Q2107" i="28"/>
  <c r="R2107" i="28"/>
  <c r="S2107" i="28"/>
  <c r="T2107" i="28"/>
  <c r="U2107" i="28"/>
  <c r="V2107" i="28"/>
  <c r="W2107" i="28"/>
  <c r="X2107" i="28"/>
  <c r="Y2107" i="28"/>
  <c r="Z2107" i="28"/>
  <c r="AA2107" i="28"/>
  <c r="AB2107" i="28"/>
  <c r="AC2107" i="28"/>
  <c r="AD2107" i="28"/>
  <c r="AE2107" i="28"/>
  <c r="AF2107" i="28"/>
  <c r="AG2107" i="28"/>
  <c r="B2108" i="28"/>
  <c r="C2108" i="28"/>
  <c r="D2108" i="28"/>
  <c r="E2108" i="28"/>
  <c r="F2108" i="28"/>
  <c r="G2108" i="28"/>
  <c r="H2108" i="28"/>
  <c r="I2108" i="28"/>
  <c r="J2108" i="28"/>
  <c r="K2108" i="28"/>
  <c r="L2108" i="28"/>
  <c r="M2108" i="28"/>
  <c r="N2108" i="28"/>
  <c r="O2108" i="28"/>
  <c r="P2108" i="28"/>
  <c r="Q2108" i="28"/>
  <c r="R2108" i="28"/>
  <c r="S2108" i="28"/>
  <c r="T2108" i="28"/>
  <c r="U2108" i="28"/>
  <c r="V2108" i="28"/>
  <c r="W2108" i="28"/>
  <c r="X2108" i="28"/>
  <c r="Y2108" i="28"/>
  <c r="Z2108" i="28"/>
  <c r="AA2108" i="28"/>
  <c r="AB2108" i="28"/>
  <c r="AC2108" i="28"/>
  <c r="AD2108" i="28"/>
  <c r="AE2108" i="28"/>
  <c r="AF2108" i="28"/>
  <c r="AG2108" i="28"/>
  <c r="B2109" i="28"/>
  <c r="C2109" i="28"/>
  <c r="D2109" i="28"/>
  <c r="E2109" i="28"/>
  <c r="F2109" i="28"/>
  <c r="G2109" i="28"/>
  <c r="H2109" i="28"/>
  <c r="I2109" i="28"/>
  <c r="J2109" i="28"/>
  <c r="K2109" i="28"/>
  <c r="L2109" i="28"/>
  <c r="M2109" i="28"/>
  <c r="N2109" i="28"/>
  <c r="O2109" i="28"/>
  <c r="P2109" i="28"/>
  <c r="Q2109" i="28"/>
  <c r="R2109" i="28"/>
  <c r="S2109" i="28"/>
  <c r="T2109" i="28"/>
  <c r="U2109" i="28"/>
  <c r="V2109" i="28"/>
  <c r="W2109" i="28"/>
  <c r="X2109" i="28"/>
  <c r="Y2109" i="28"/>
  <c r="Z2109" i="28"/>
  <c r="AA2109" i="28"/>
  <c r="AB2109" i="28"/>
  <c r="AC2109" i="28"/>
  <c r="AD2109" i="28"/>
  <c r="AE2109" i="28"/>
  <c r="AF2109" i="28"/>
  <c r="AG2109" i="28"/>
  <c r="B2110" i="28"/>
  <c r="C2110" i="28"/>
  <c r="D2110" i="28"/>
  <c r="E2110" i="28"/>
  <c r="F2110" i="28"/>
  <c r="G2110" i="28"/>
  <c r="H2110" i="28"/>
  <c r="I2110" i="28"/>
  <c r="J2110" i="28"/>
  <c r="K2110" i="28"/>
  <c r="L2110" i="28"/>
  <c r="M2110" i="28"/>
  <c r="N2110" i="28"/>
  <c r="O2110" i="28"/>
  <c r="P2110" i="28"/>
  <c r="Q2110" i="28"/>
  <c r="R2110" i="28"/>
  <c r="S2110" i="28"/>
  <c r="T2110" i="28"/>
  <c r="U2110" i="28"/>
  <c r="V2110" i="28"/>
  <c r="W2110" i="28"/>
  <c r="X2110" i="28"/>
  <c r="Y2110" i="28"/>
  <c r="Z2110" i="28"/>
  <c r="AA2110" i="28"/>
  <c r="AB2110" i="28"/>
  <c r="AC2110" i="28"/>
  <c r="AD2110" i="28"/>
  <c r="AE2110" i="28"/>
  <c r="AF2110" i="28"/>
  <c r="AG2110" i="28"/>
  <c r="B2111" i="28"/>
  <c r="C2111" i="28"/>
  <c r="D2111" i="28"/>
  <c r="E2111" i="28"/>
  <c r="F2111" i="28"/>
  <c r="G2111" i="28"/>
  <c r="H2111" i="28"/>
  <c r="I2111" i="28"/>
  <c r="J2111" i="28"/>
  <c r="K2111" i="28"/>
  <c r="L2111" i="28"/>
  <c r="M2111" i="28"/>
  <c r="N2111" i="28"/>
  <c r="O2111" i="28"/>
  <c r="P2111" i="28"/>
  <c r="Q2111" i="28"/>
  <c r="R2111" i="28"/>
  <c r="S2111" i="28"/>
  <c r="T2111" i="28"/>
  <c r="U2111" i="28"/>
  <c r="V2111" i="28"/>
  <c r="W2111" i="28"/>
  <c r="X2111" i="28"/>
  <c r="Y2111" i="28"/>
  <c r="Z2111" i="28"/>
  <c r="AA2111" i="28"/>
  <c r="AB2111" i="28"/>
  <c r="AC2111" i="28"/>
  <c r="AD2111" i="28"/>
  <c r="AE2111" i="28"/>
  <c r="AF2111" i="28"/>
  <c r="AG2111" i="28"/>
  <c r="B2112" i="28"/>
  <c r="C2112" i="28"/>
  <c r="D2112" i="28"/>
  <c r="E2112" i="28"/>
  <c r="F2112" i="28"/>
  <c r="G2112" i="28"/>
  <c r="H2112" i="28"/>
  <c r="I2112" i="28"/>
  <c r="J2112" i="28"/>
  <c r="K2112" i="28"/>
  <c r="L2112" i="28"/>
  <c r="M2112" i="28"/>
  <c r="N2112" i="28"/>
  <c r="O2112" i="28"/>
  <c r="P2112" i="28"/>
  <c r="Q2112" i="28"/>
  <c r="R2112" i="28"/>
  <c r="S2112" i="28"/>
  <c r="T2112" i="28"/>
  <c r="U2112" i="28"/>
  <c r="V2112" i="28"/>
  <c r="W2112" i="28"/>
  <c r="X2112" i="28"/>
  <c r="Y2112" i="28"/>
  <c r="Z2112" i="28"/>
  <c r="AA2112" i="28"/>
  <c r="AB2112" i="28"/>
  <c r="AC2112" i="28"/>
  <c r="AD2112" i="28"/>
  <c r="AE2112" i="28"/>
  <c r="AF2112" i="28"/>
  <c r="AG2112" i="28"/>
  <c r="B2113" i="28"/>
  <c r="C2113" i="28"/>
  <c r="D2113" i="28"/>
  <c r="E2113" i="28"/>
  <c r="F2113" i="28"/>
  <c r="G2113" i="28"/>
  <c r="H2113" i="28"/>
  <c r="I2113" i="28"/>
  <c r="J2113" i="28"/>
  <c r="K2113" i="28"/>
  <c r="L2113" i="28"/>
  <c r="M2113" i="28"/>
  <c r="N2113" i="28"/>
  <c r="O2113" i="28"/>
  <c r="P2113" i="28"/>
  <c r="Q2113" i="28"/>
  <c r="R2113" i="28"/>
  <c r="S2113" i="28"/>
  <c r="T2113" i="28"/>
  <c r="U2113" i="28"/>
  <c r="V2113" i="28"/>
  <c r="W2113" i="28"/>
  <c r="X2113" i="28"/>
  <c r="Y2113" i="28"/>
  <c r="Z2113" i="28"/>
  <c r="AA2113" i="28"/>
  <c r="AB2113" i="28"/>
  <c r="AC2113" i="28"/>
  <c r="AD2113" i="28"/>
  <c r="AE2113" i="28"/>
  <c r="AF2113" i="28"/>
  <c r="AG2113" i="28"/>
  <c r="B2114" i="28"/>
  <c r="C2114" i="28"/>
  <c r="D2114" i="28"/>
  <c r="E2114" i="28"/>
  <c r="F2114" i="28"/>
  <c r="G2114" i="28"/>
  <c r="H2114" i="28"/>
  <c r="I2114" i="28"/>
  <c r="J2114" i="28"/>
  <c r="K2114" i="28"/>
  <c r="L2114" i="28"/>
  <c r="M2114" i="28"/>
  <c r="N2114" i="28"/>
  <c r="O2114" i="28"/>
  <c r="P2114" i="28"/>
  <c r="Q2114" i="28"/>
  <c r="R2114" i="28"/>
  <c r="S2114" i="28"/>
  <c r="T2114" i="28"/>
  <c r="U2114" i="28"/>
  <c r="V2114" i="28"/>
  <c r="W2114" i="28"/>
  <c r="X2114" i="28"/>
  <c r="Y2114" i="28"/>
  <c r="Z2114" i="28"/>
  <c r="AA2114" i="28"/>
  <c r="AB2114" i="28"/>
  <c r="AC2114" i="28"/>
  <c r="AD2114" i="28"/>
  <c r="AE2114" i="28"/>
  <c r="AF2114" i="28"/>
  <c r="AG2114" i="28"/>
  <c r="B2115" i="28"/>
  <c r="C2115" i="28"/>
  <c r="D2115" i="28"/>
  <c r="E2115" i="28"/>
  <c r="F2115" i="28"/>
  <c r="G2115" i="28"/>
  <c r="H2115" i="28"/>
  <c r="I2115" i="28"/>
  <c r="J2115" i="28"/>
  <c r="K2115" i="28"/>
  <c r="L2115" i="28"/>
  <c r="M2115" i="28"/>
  <c r="N2115" i="28"/>
  <c r="O2115" i="28"/>
  <c r="P2115" i="28"/>
  <c r="Q2115" i="28"/>
  <c r="R2115" i="28"/>
  <c r="S2115" i="28"/>
  <c r="T2115" i="28"/>
  <c r="U2115" i="28"/>
  <c r="V2115" i="28"/>
  <c r="W2115" i="28"/>
  <c r="X2115" i="28"/>
  <c r="Y2115" i="28"/>
  <c r="Z2115" i="28"/>
  <c r="AA2115" i="28"/>
  <c r="AB2115" i="28"/>
  <c r="AC2115" i="28"/>
  <c r="AD2115" i="28"/>
  <c r="AE2115" i="28"/>
  <c r="AF2115" i="28"/>
  <c r="AG2115" i="28"/>
  <c r="B2116" i="28"/>
  <c r="C2116" i="28"/>
  <c r="D2116" i="28"/>
  <c r="E2116" i="28"/>
  <c r="F2116" i="28"/>
  <c r="G2116" i="28"/>
  <c r="H2116" i="28"/>
  <c r="I2116" i="28"/>
  <c r="J2116" i="28"/>
  <c r="K2116" i="28"/>
  <c r="L2116" i="28"/>
  <c r="M2116" i="28"/>
  <c r="N2116" i="28"/>
  <c r="O2116" i="28"/>
  <c r="P2116" i="28"/>
  <c r="Q2116" i="28"/>
  <c r="R2116" i="28"/>
  <c r="S2116" i="28"/>
  <c r="T2116" i="28"/>
  <c r="U2116" i="28"/>
  <c r="V2116" i="28"/>
  <c r="W2116" i="28"/>
  <c r="X2116" i="28"/>
  <c r="Y2116" i="28"/>
  <c r="Z2116" i="28"/>
  <c r="AA2116" i="28"/>
  <c r="AB2116" i="28"/>
  <c r="AC2116" i="28"/>
  <c r="AD2116" i="28"/>
  <c r="AE2116" i="28"/>
  <c r="AF2116" i="28"/>
  <c r="AG2116" i="28"/>
  <c r="B2117" i="28"/>
  <c r="C2117" i="28"/>
  <c r="D2117" i="28"/>
  <c r="E2117" i="28"/>
  <c r="F2117" i="28"/>
  <c r="G2117" i="28"/>
  <c r="H2117" i="28"/>
  <c r="I2117" i="28"/>
  <c r="J2117" i="28"/>
  <c r="K2117" i="28"/>
  <c r="L2117" i="28"/>
  <c r="M2117" i="28"/>
  <c r="N2117" i="28"/>
  <c r="O2117" i="28"/>
  <c r="P2117" i="28"/>
  <c r="Q2117" i="28"/>
  <c r="R2117" i="28"/>
  <c r="S2117" i="28"/>
  <c r="T2117" i="28"/>
  <c r="U2117" i="28"/>
  <c r="V2117" i="28"/>
  <c r="W2117" i="28"/>
  <c r="X2117" i="28"/>
  <c r="Y2117" i="28"/>
  <c r="Z2117" i="28"/>
  <c r="AA2117" i="28"/>
  <c r="AB2117" i="28"/>
  <c r="AC2117" i="28"/>
  <c r="AD2117" i="28"/>
  <c r="AE2117" i="28"/>
  <c r="AF2117" i="28"/>
  <c r="AG2117" i="28"/>
  <c r="B2118" i="28"/>
  <c r="C2118" i="28"/>
  <c r="D2118" i="28"/>
  <c r="E2118" i="28"/>
  <c r="F2118" i="28"/>
  <c r="G2118" i="28"/>
  <c r="H2118" i="28"/>
  <c r="I2118" i="28"/>
  <c r="J2118" i="28"/>
  <c r="K2118" i="28"/>
  <c r="L2118" i="28"/>
  <c r="M2118" i="28"/>
  <c r="N2118" i="28"/>
  <c r="O2118" i="28"/>
  <c r="P2118" i="28"/>
  <c r="Q2118" i="28"/>
  <c r="R2118" i="28"/>
  <c r="S2118" i="28"/>
  <c r="T2118" i="28"/>
  <c r="U2118" i="28"/>
  <c r="V2118" i="28"/>
  <c r="W2118" i="28"/>
  <c r="X2118" i="28"/>
  <c r="Y2118" i="28"/>
  <c r="Z2118" i="28"/>
  <c r="AA2118" i="28"/>
  <c r="AB2118" i="28"/>
  <c r="AC2118" i="28"/>
  <c r="AD2118" i="28"/>
  <c r="AE2118" i="28"/>
  <c r="AF2118" i="28"/>
  <c r="AG2118" i="28"/>
  <c r="B2119" i="28"/>
  <c r="C2119" i="28"/>
  <c r="D2119" i="28"/>
  <c r="E2119" i="28"/>
  <c r="F2119" i="28"/>
  <c r="G2119" i="28"/>
  <c r="H2119" i="28"/>
  <c r="I2119" i="28"/>
  <c r="J2119" i="28"/>
  <c r="K2119" i="28"/>
  <c r="L2119" i="28"/>
  <c r="M2119" i="28"/>
  <c r="N2119" i="28"/>
  <c r="O2119" i="28"/>
  <c r="P2119" i="28"/>
  <c r="Q2119" i="28"/>
  <c r="R2119" i="28"/>
  <c r="S2119" i="28"/>
  <c r="T2119" i="28"/>
  <c r="U2119" i="28"/>
  <c r="V2119" i="28"/>
  <c r="W2119" i="28"/>
  <c r="X2119" i="28"/>
  <c r="Y2119" i="28"/>
  <c r="Z2119" i="28"/>
  <c r="AA2119" i="28"/>
  <c r="AB2119" i="28"/>
  <c r="AC2119" i="28"/>
  <c r="AD2119" i="28"/>
  <c r="AE2119" i="28"/>
  <c r="AF2119" i="28"/>
  <c r="AG2119" i="28"/>
  <c r="B2120" i="28"/>
  <c r="C2120" i="28"/>
  <c r="D2120" i="28"/>
  <c r="E2120" i="28"/>
  <c r="F2120" i="28"/>
  <c r="G2120" i="28"/>
  <c r="H2120" i="28"/>
  <c r="I2120" i="28"/>
  <c r="J2120" i="28"/>
  <c r="K2120" i="28"/>
  <c r="L2120" i="28"/>
  <c r="M2120" i="28"/>
  <c r="N2120" i="28"/>
  <c r="O2120" i="28"/>
  <c r="P2120" i="28"/>
  <c r="Q2120" i="28"/>
  <c r="R2120" i="28"/>
  <c r="S2120" i="28"/>
  <c r="T2120" i="28"/>
  <c r="U2120" i="28"/>
  <c r="V2120" i="28"/>
  <c r="W2120" i="28"/>
  <c r="X2120" i="28"/>
  <c r="Y2120" i="28"/>
  <c r="Z2120" i="28"/>
  <c r="AA2120" i="28"/>
  <c r="AB2120" i="28"/>
  <c r="AC2120" i="28"/>
  <c r="AD2120" i="28"/>
  <c r="AE2120" i="28"/>
  <c r="AF2120" i="28"/>
  <c r="AG2120" i="28"/>
  <c r="B2121" i="28"/>
  <c r="C2121" i="28"/>
  <c r="D2121" i="28"/>
  <c r="E2121" i="28"/>
  <c r="F2121" i="28"/>
  <c r="G2121" i="28"/>
  <c r="H2121" i="28"/>
  <c r="I2121" i="28"/>
  <c r="J2121" i="28"/>
  <c r="K2121" i="28"/>
  <c r="L2121" i="28"/>
  <c r="M2121" i="28"/>
  <c r="N2121" i="28"/>
  <c r="O2121" i="28"/>
  <c r="P2121" i="28"/>
  <c r="Q2121" i="28"/>
  <c r="R2121" i="28"/>
  <c r="S2121" i="28"/>
  <c r="T2121" i="28"/>
  <c r="U2121" i="28"/>
  <c r="V2121" i="28"/>
  <c r="W2121" i="28"/>
  <c r="X2121" i="28"/>
  <c r="Y2121" i="28"/>
  <c r="Z2121" i="28"/>
  <c r="AA2121" i="28"/>
  <c r="AB2121" i="28"/>
  <c r="AC2121" i="28"/>
  <c r="AD2121" i="28"/>
  <c r="AE2121" i="28"/>
  <c r="AF2121" i="28"/>
  <c r="AG2121" i="28"/>
  <c r="B2122" i="28"/>
  <c r="C2122" i="28"/>
  <c r="D2122" i="28"/>
  <c r="E2122" i="28"/>
  <c r="F2122" i="28"/>
  <c r="G2122" i="28"/>
  <c r="H2122" i="28"/>
  <c r="I2122" i="28"/>
  <c r="J2122" i="28"/>
  <c r="K2122" i="28"/>
  <c r="L2122" i="28"/>
  <c r="M2122" i="28"/>
  <c r="N2122" i="28"/>
  <c r="O2122" i="28"/>
  <c r="P2122" i="28"/>
  <c r="Q2122" i="28"/>
  <c r="R2122" i="28"/>
  <c r="S2122" i="28"/>
  <c r="T2122" i="28"/>
  <c r="U2122" i="28"/>
  <c r="V2122" i="28"/>
  <c r="W2122" i="28"/>
  <c r="X2122" i="28"/>
  <c r="Y2122" i="28"/>
  <c r="Z2122" i="28"/>
  <c r="AA2122" i="28"/>
  <c r="AB2122" i="28"/>
  <c r="AC2122" i="28"/>
  <c r="AD2122" i="28"/>
  <c r="AE2122" i="28"/>
  <c r="AF2122" i="28"/>
  <c r="AG2122" i="28"/>
  <c r="B2123" i="28"/>
  <c r="C2123" i="28"/>
  <c r="D2123" i="28"/>
  <c r="E2123" i="28"/>
  <c r="F2123" i="28"/>
  <c r="G2123" i="28"/>
  <c r="H2123" i="28"/>
  <c r="I2123" i="28"/>
  <c r="J2123" i="28"/>
  <c r="K2123" i="28"/>
  <c r="L2123" i="28"/>
  <c r="M2123" i="28"/>
  <c r="N2123" i="28"/>
  <c r="O2123" i="28"/>
  <c r="P2123" i="28"/>
  <c r="Q2123" i="28"/>
  <c r="R2123" i="28"/>
  <c r="S2123" i="28"/>
  <c r="T2123" i="28"/>
  <c r="U2123" i="28"/>
  <c r="V2123" i="28"/>
  <c r="W2123" i="28"/>
  <c r="X2123" i="28"/>
  <c r="Y2123" i="28"/>
  <c r="Z2123" i="28"/>
  <c r="AA2123" i="28"/>
  <c r="AB2123" i="28"/>
  <c r="AC2123" i="28"/>
  <c r="AD2123" i="28"/>
  <c r="AE2123" i="28"/>
  <c r="AF2123" i="28"/>
  <c r="AG2123" i="28"/>
  <c r="B2124" i="28"/>
  <c r="C2124" i="28"/>
  <c r="D2124" i="28"/>
  <c r="E2124" i="28"/>
  <c r="F2124" i="28"/>
  <c r="G2124" i="28"/>
  <c r="H2124" i="28"/>
  <c r="I2124" i="28"/>
  <c r="J2124" i="28"/>
  <c r="K2124" i="28"/>
  <c r="L2124" i="28"/>
  <c r="M2124" i="28"/>
  <c r="N2124" i="28"/>
  <c r="O2124" i="28"/>
  <c r="P2124" i="28"/>
  <c r="Q2124" i="28"/>
  <c r="R2124" i="28"/>
  <c r="S2124" i="28"/>
  <c r="T2124" i="28"/>
  <c r="U2124" i="28"/>
  <c r="V2124" i="28"/>
  <c r="W2124" i="28"/>
  <c r="X2124" i="28"/>
  <c r="Y2124" i="28"/>
  <c r="Z2124" i="28"/>
  <c r="AA2124" i="28"/>
  <c r="AB2124" i="28"/>
  <c r="AC2124" i="28"/>
  <c r="AD2124" i="28"/>
  <c r="AE2124" i="28"/>
  <c r="AF2124" i="28"/>
  <c r="AG2124" i="28"/>
  <c r="B2125" i="28"/>
  <c r="C2125" i="28"/>
  <c r="D2125" i="28"/>
  <c r="E2125" i="28"/>
  <c r="F2125" i="28"/>
  <c r="G2125" i="28"/>
  <c r="H2125" i="28"/>
  <c r="I2125" i="28"/>
  <c r="J2125" i="28"/>
  <c r="K2125" i="28"/>
  <c r="L2125" i="28"/>
  <c r="M2125" i="28"/>
  <c r="N2125" i="28"/>
  <c r="O2125" i="28"/>
  <c r="P2125" i="28"/>
  <c r="Q2125" i="28"/>
  <c r="R2125" i="28"/>
  <c r="S2125" i="28"/>
  <c r="T2125" i="28"/>
  <c r="U2125" i="28"/>
  <c r="V2125" i="28"/>
  <c r="W2125" i="28"/>
  <c r="X2125" i="28"/>
  <c r="Y2125" i="28"/>
  <c r="Z2125" i="28"/>
  <c r="AA2125" i="28"/>
  <c r="AB2125" i="28"/>
  <c r="AC2125" i="28"/>
  <c r="AD2125" i="28"/>
  <c r="AE2125" i="28"/>
  <c r="AF2125" i="28"/>
  <c r="AG2125" i="28"/>
  <c r="B2126" i="28"/>
  <c r="C2126" i="28"/>
  <c r="D2126" i="28"/>
  <c r="E2126" i="28"/>
  <c r="F2126" i="28"/>
  <c r="G2126" i="28"/>
  <c r="H2126" i="28"/>
  <c r="I2126" i="28"/>
  <c r="J2126" i="28"/>
  <c r="K2126" i="28"/>
  <c r="L2126" i="28"/>
  <c r="M2126" i="28"/>
  <c r="N2126" i="28"/>
  <c r="O2126" i="28"/>
  <c r="P2126" i="28"/>
  <c r="Q2126" i="28"/>
  <c r="R2126" i="28"/>
  <c r="S2126" i="28"/>
  <c r="T2126" i="28"/>
  <c r="U2126" i="28"/>
  <c r="V2126" i="28"/>
  <c r="W2126" i="28"/>
  <c r="X2126" i="28"/>
  <c r="Y2126" i="28"/>
  <c r="Z2126" i="28"/>
  <c r="AA2126" i="28"/>
  <c r="AB2126" i="28"/>
  <c r="AC2126" i="28"/>
  <c r="AD2126" i="28"/>
  <c r="AE2126" i="28"/>
  <c r="AF2126" i="28"/>
  <c r="AG2126" i="28"/>
  <c r="B2127" i="28"/>
  <c r="C2127" i="28"/>
  <c r="D2127" i="28"/>
  <c r="E2127" i="28"/>
  <c r="F2127" i="28"/>
  <c r="G2127" i="28"/>
  <c r="H2127" i="28"/>
  <c r="I2127" i="28"/>
  <c r="J2127" i="28"/>
  <c r="K2127" i="28"/>
  <c r="L2127" i="28"/>
  <c r="M2127" i="28"/>
  <c r="N2127" i="28"/>
  <c r="O2127" i="28"/>
  <c r="P2127" i="28"/>
  <c r="Q2127" i="28"/>
  <c r="R2127" i="28"/>
  <c r="S2127" i="28"/>
  <c r="T2127" i="28"/>
  <c r="U2127" i="28"/>
  <c r="V2127" i="28"/>
  <c r="W2127" i="28"/>
  <c r="X2127" i="28"/>
  <c r="Y2127" i="28"/>
  <c r="Z2127" i="28"/>
  <c r="AA2127" i="28"/>
  <c r="AB2127" i="28"/>
  <c r="AC2127" i="28"/>
  <c r="AD2127" i="28"/>
  <c r="AE2127" i="28"/>
  <c r="AF2127" i="28"/>
  <c r="AG2127" i="28"/>
  <c r="B2128" i="28"/>
  <c r="C2128" i="28"/>
  <c r="D2128" i="28"/>
  <c r="E2128" i="28"/>
  <c r="F2128" i="28"/>
  <c r="G2128" i="28"/>
  <c r="H2128" i="28"/>
  <c r="I2128" i="28"/>
  <c r="J2128" i="28"/>
  <c r="K2128" i="28"/>
  <c r="L2128" i="28"/>
  <c r="M2128" i="28"/>
  <c r="N2128" i="28"/>
  <c r="O2128" i="28"/>
  <c r="P2128" i="28"/>
  <c r="Q2128" i="28"/>
  <c r="R2128" i="28"/>
  <c r="S2128" i="28"/>
  <c r="T2128" i="28"/>
  <c r="U2128" i="28"/>
  <c r="V2128" i="28"/>
  <c r="W2128" i="28"/>
  <c r="X2128" i="28"/>
  <c r="Y2128" i="28"/>
  <c r="Z2128" i="28"/>
  <c r="AA2128" i="28"/>
  <c r="AB2128" i="28"/>
  <c r="AC2128" i="28"/>
  <c r="AD2128" i="28"/>
  <c r="AE2128" i="28"/>
  <c r="AF2128" i="28"/>
  <c r="AG2128" i="28"/>
  <c r="B2129" i="28"/>
  <c r="C2129" i="28"/>
  <c r="D2129" i="28"/>
  <c r="E2129" i="28"/>
  <c r="F2129" i="28"/>
  <c r="G2129" i="28"/>
  <c r="H2129" i="28"/>
  <c r="I2129" i="28"/>
  <c r="J2129" i="28"/>
  <c r="K2129" i="28"/>
  <c r="L2129" i="28"/>
  <c r="M2129" i="28"/>
  <c r="N2129" i="28"/>
  <c r="O2129" i="28"/>
  <c r="P2129" i="28"/>
  <c r="Q2129" i="28"/>
  <c r="R2129" i="28"/>
  <c r="S2129" i="28"/>
  <c r="T2129" i="28"/>
  <c r="U2129" i="28"/>
  <c r="V2129" i="28"/>
  <c r="W2129" i="28"/>
  <c r="X2129" i="28"/>
  <c r="Y2129" i="28"/>
  <c r="Z2129" i="28"/>
  <c r="AA2129" i="28"/>
  <c r="AB2129" i="28"/>
  <c r="AC2129" i="28"/>
  <c r="AD2129" i="28"/>
  <c r="AE2129" i="28"/>
  <c r="AF2129" i="28"/>
  <c r="AG2129" i="28"/>
  <c r="B2130" i="28"/>
  <c r="C2130" i="28"/>
  <c r="D2130" i="28"/>
  <c r="E2130" i="28"/>
  <c r="F2130" i="28"/>
  <c r="G2130" i="28"/>
  <c r="H2130" i="28"/>
  <c r="I2130" i="28"/>
  <c r="J2130" i="28"/>
  <c r="K2130" i="28"/>
  <c r="L2130" i="28"/>
  <c r="M2130" i="28"/>
  <c r="N2130" i="28"/>
  <c r="O2130" i="28"/>
  <c r="P2130" i="28"/>
  <c r="Q2130" i="28"/>
  <c r="R2130" i="28"/>
  <c r="S2130" i="28"/>
  <c r="T2130" i="28"/>
  <c r="U2130" i="28"/>
  <c r="V2130" i="28"/>
  <c r="W2130" i="28"/>
  <c r="X2130" i="28"/>
  <c r="Y2130" i="28"/>
  <c r="Z2130" i="28"/>
  <c r="AA2130" i="28"/>
  <c r="AB2130" i="28"/>
  <c r="AC2130" i="28"/>
  <c r="AD2130" i="28"/>
  <c r="AE2130" i="28"/>
  <c r="AF2130" i="28"/>
  <c r="AG2130" i="28"/>
  <c r="B2131" i="28"/>
  <c r="C2131" i="28"/>
  <c r="D2131" i="28"/>
  <c r="E2131" i="28"/>
  <c r="F2131" i="28"/>
  <c r="G2131" i="28"/>
  <c r="H2131" i="28"/>
  <c r="I2131" i="28"/>
  <c r="J2131" i="28"/>
  <c r="K2131" i="28"/>
  <c r="L2131" i="28"/>
  <c r="M2131" i="28"/>
  <c r="N2131" i="28"/>
  <c r="O2131" i="28"/>
  <c r="P2131" i="28"/>
  <c r="Q2131" i="28"/>
  <c r="R2131" i="28"/>
  <c r="S2131" i="28"/>
  <c r="T2131" i="28"/>
  <c r="U2131" i="28"/>
  <c r="V2131" i="28"/>
  <c r="W2131" i="28"/>
  <c r="X2131" i="28"/>
  <c r="Y2131" i="28"/>
  <c r="Z2131" i="28"/>
  <c r="AA2131" i="28"/>
  <c r="AB2131" i="28"/>
  <c r="AC2131" i="28"/>
  <c r="AD2131" i="28"/>
  <c r="AE2131" i="28"/>
  <c r="AF2131" i="28"/>
  <c r="AG2131" i="28"/>
  <c r="B2132" i="28"/>
  <c r="C2132" i="28"/>
  <c r="D2132" i="28"/>
  <c r="E2132" i="28"/>
  <c r="F2132" i="28"/>
  <c r="G2132" i="28"/>
  <c r="H2132" i="28"/>
  <c r="I2132" i="28"/>
  <c r="J2132" i="28"/>
  <c r="K2132" i="28"/>
  <c r="L2132" i="28"/>
  <c r="M2132" i="28"/>
  <c r="N2132" i="28"/>
  <c r="O2132" i="28"/>
  <c r="P2132" i="28"/>
  <c r="Q2132" i="28"/>
  <c r="R2132" i="28"/>
  <c r="S2132" i="28"/>
  <c r="T2132" i="28"/>
  <c r="U2132" i="28"/>
  <c r="V2132" i="28"/>
  <c r="W2132" i="28"/>
  <c r="X2132" i="28"/>
  <c r="Y2132" i="28"/>
  <c r="Z2132" i="28"/>
  <c r="AA2132" i="28"/>
  <c r="AB2132" i="28"/>
  <c r="AC2132" i="28"/>
  <c r="AD2132" i="28"/>
  <c r="AE2132" i="28"/>
  <c r="AF2132" i="28"/>
  <c r="AG2132" i="28"/>
  <c r="B2133" i="28"/>
  <c r="C2133" i="28"/>
  <c r="D2133" i="28"/>
  <c r="E2133" i="28"/>
  <c r="F2133" i="28"/>
  <c r="G2133" i="28"/>
  <c r="H2133" i="28"/>
  <c r="I2133" i="28"/>
  <c r="J2133" i="28"/>
  <c r="K2133" i="28"/>
  <c r="L2133" i="28"/>
  <c r="M2133" i="28"/>
  <c r="N2133" i="28"/>
  <c r="O2133" i="28"/>
  <c r="P2133" i="28"/>
  <c r="Q2133" i="28"/>
  <c r="R2133" i="28"/>
  <c r="S2133" i="28"/>
  <c r="T2133" i="28"/>
  <c r="U2133" i="28"/>
  <c r="V2133" i="28"/>
  <c r="W2133" i="28"/>
  <c r="X2133" i="28"/>
  <c r="Y2133" i="28"/>
  <c r="Z2133" i="28"/>
  <c r="AA2133" i="28"/>
  <c r="AB2133" i="28"/>
  <c r="AC2133" i="28"/>
  <c r="AD2133" i="28"/>
  <c r="AE2133" i="28"/>
  <c r="AF2133" i="28"/>
  <c r="AG2133" i="28"/>
  <c r="B2134" i="28"/>
  <c r="C2134" i="28"/>
  <c r="D2134" i="28"/>
  <c r="E2134" i="28"/>
  <c r="F2134" i="28"/>
  <c r="G2134" i="28"/>
  <c r="H2134" i="28"/>
  <c r="I2134" i="28"/>
  <c r="J2134" i="28"/>
  <c r="K2134" i="28"/>
  <c r="L2134" i="28"/>
  <c r="M2134" i="28"/>
  <c r="N2134" i="28"/>
  <c r="O2134" i="28"/>
  <c r="P2134" i="28"/>
  <c r="Q2134" i="28"/>
  <c r="R2134" i="28"/>
  <c r="S2134" i="28"/>
  <c r="T2134" i="28"/>
  <c r="U2134" i="28"/>
  <c r="V2134" i="28"/>
  <c r="W2134" i="28"/>
  <c r="X2134" i="28"/>
  <c r="Y2134" i="28"/>
  <c r="Z2134" i="28"/>
  <c r="AA2134" i="28"/>
  <c r="AB2134" i="28"/>
  <c r="AC2134" i="28"/>
  <c r="AD2134" i="28"/>
  <c r="AE2134" i="28"/>
  <c r="AF2134" i="28"/>
  <c r="AG2134" i="28"/>
  <c r="B2135" i="28"/>
  <c r="C2135" i="28"/>
  <c r="D2135" i="28"/>
  <c r="E2135" i="28"/>
  <c r="F2135" i="28"/>
  <c r="G2135" i="28"/>
  <c r="H2135" i="28"/>
  <c r="I2135" i="28"/>
  <c r="J2135" i="28"/>
  <c r="K2135" i="28"/>
  <c r="L2135" i="28"/>
  <c r="M2135" i="28"/>
  <c r="N2135" i="28"/>
  <c r="O2135" i="28"/>
  <c r="P2135" i="28"/>
  <c r="Q2135" i="28"/>
  <c r="R2135" i="28"/>
  <c r="S2135" i="28"/>
  <c r="T2135" i="28"/>
  <c r="U2135" i="28"/>
  <c r="V2135" i="28"/>
  <c r="W2135" i="28"/>
  <c r="X2135" i="28"/>
  <c r="Y2135" i="28"/>
  <c r="Z2135" i="28"/>
  <c r="AA2135" i="28"/>
  <c r="AB2135" i="28"/>
  <c r="AC2135" i="28"/>
  <c r="AD2135" i="28"/>
  <c r="AE2135" i="28"/>
  <c r="AF2135" i="28"/>
  <c r="AG2135" i="28"/>
  <c r="B2136" i="28"/>
  <c r="C2136" i="28"/>
  <c r="D2136" i="28"/>
  <c r="E2136" i="28"/>
  <c r="F2136" i="28"/>
  <c r="G2136" i="28"/>
  <c r="H2136" i="28"/>
  <c r="I2136" i="28"/>
  <c r="J2136" i="28"/>
  <c r="K2136" i="28"/>
  <c r="L2136" i="28"/>
  <c r="M2136" i="28"/>
  <c r="N2136" i="28"/>
  <c r="O2136" i="28"/>
  <c r="P2136" i="28"/>
  <c r="Q2136" i="28"/>
  <c r="R2136" i="28"/>
  <c r="S2136" i="28"/>
  <c r="T2136" i="28"/>
  <c r="U2136" i="28"/>
  <c r="V2136" i="28"/>
  <c r="W2136" i="28"/>
  <c r="X2136" i="28"/>
  <c r="Y2136" i="28"/>
  <c r="Z2136" i="28"/>
  <c r="AA2136" i="28"/>
  <c r="AB2136" i="28"/>
  <c r="AC2136" i="28"/>
  <c r="AD2136" i="28"/>
  <c r="AE2136" i="28"/>
  <c r="AF2136" i="28"/>
  <c r="AG2136" i="28"/>
  <c r="B2137" i="28"/>
  <c r="C2137" i="28"/>
  <c r="D2137" i="28"/>
  <c r="E2137" i="28"/>
  <c r="F2137" i="28"/>
  <c r="G2137" i="28"/>
  <c r="H2137" i="28"/>
  <c r="I2137" i="28"/>
  <c r="J2137" i="28"/>
  <c r="K2137" i="28"/>
  <c r="L2137" i="28"/>
  <c r="M2137" i="28"/>
  <c r="N2137" i="28"/>
  <c r="O2137" i="28"/>
  <c r="P2137" i="28"/>
  <c r="Q2137" i="28"/>
  <c r="R2137" i="28"/>
  <c r="S2137" i="28"/>
  <c r="T2137" i="28"/>
  <c r="U2137" i="28"/>
  <c r="V2137" i="28"/>
  <c r="W2137" i="28"/>
  <c r="X2137" i="28"/>
  <c r="Y2137" i="28"/>
  <c r="Z2137" i="28"/>
  <c r="AA2137" i="28"/>
  <c r="AB2137" i="28"/>
  <c r="AC2137" i="28"/>
  <c r="AD2137" i="28"/>
  <c r="AE2137" i="28"/>
  <c r="AF2137" i="28"/>
  <c r="AG2137" i="28"/>
  <c r="B2138" i="28"/>
  <c r="C2138" i="28"/>
  <c r="D2138" i="28"/>
  <c r="E2138" i="28"/>
  <c r="F2138" i="28"/>
  <c r="G2138" i="28"/>
  <c r="H2138" i="28"/>
  <c r="I2138" i="28"/>
  <c r="J2138" i="28"/>
  <c r="K2138" i="28"/>
  <c r="L2138" i="28"/>
  <c r="M2138" i="28"/>
  <c r="N2138" i="28"/>
  <c r="O2138" i="28"/>
  <c r="P2138" i="28"/>
  <c r="Q2138" i="28"/>
  <c r="R2138" i="28"/>
  <c r="S2138" i="28"/>
  <c r="T2138" i="28"/>
  <c r="U2138" i="28"/>
  <c r="V2138" i="28"/>
  <c r="W2138" i="28"/>
  <c r="X2138" i="28"/>
  <c r="Y2138" i="28"/>
  <c r="Z2138" i="28"/>
  <c r="AA2138" i="28"/>
  <c r="AB2138" i="28"/>
  <c r="AC2138" i="28"/>
  <c r="AD2138" i="28"/>
  <c r="AE2138" i="28"/>
  <c r="AF2138" i="28"/>
  <c r="AG2138" i="28"/>
  <c r="B2139" i="28"/>
  <c r="C2139" i="28"/>
  <c r="D2139" i="28"/>
  <c r="E2139" i="28"/>
  <c r="F2139" i="28"/>
  <c r="G2139" i="28"/>
  <c r="H2139" i="28"/>
  <c r="I2139" i="28"/>
  <c r="J2139" i="28"/>
  <c r="K2139" i="28"/>
  <c r="L2139" i="28"/>
  <c r="M2139" i="28"/>
  <c r="N2139" i="28"/>
  <c r="O2139" i="28"/>
  <c r="P2139" i="28"/>
  <c r="Q2139" i="28"/>
  <c r="R2139" i="28"/>
  <c r="S2139" i="28"/>
  <c r="T2139" i="28"/>
  <c r="U2139" i="28"/>
  <c r="V2139" i="28"/>
  <c r="W2139" i="28"/>
  <c r="X2139" i="28"/>
  <c r="Y2139" i="28"/>
  <c r="Z2139" i="28"/>
  <c r="AA2139" i="28"/>
  <c r="AB2139" i="28"/>
  <c r="AC2139" i="28"/>
  <c r="AD2139" i="28"/>
  <c r="AE2139" i="28"/>
  <c r="AF2139" i="28"/>
  <c r="AG2139" i="28"/>
  <c r="B2140" i="28"/>
  <c r="C2140" i="28"/>
  <c r="D2140" i="28"/>
  <c r="E2140" i="28"/>
  <c r="F2140" i="28"/>
  <c r="G2140" i="28"/>
  <c r="H2140" i="28"/>
  <c r="I2140" i="28"/>
  <c r="J2140" i="28"/>
  <c r="K2140" i="28"/>
  <c r="L2140" i="28"/>
  <c r="M2140" i="28"/>
  <c r="N2140" i="28"/>
  <c r="O2140" i="28"/>
  <c r="P2140" i="28"/>
  <c r="Q2140" i="28"/>
  <c r="R2140" i="28"/>
  <c r="S2140" i="28"/>
  <c r="T2140" i="28"/>
  <c r="U2140" i="28"/>
  <c r="V2140" i="28"/>
  <c r="W2140" i="28"/>
  <c r="X2140" i="28"/>
  <c r="Y2140" i="28"/>
  <c r="Z2140" i="28"/>
  <c r="AA2140" i="28"/>
  <c r="AB2140" i="28"/>
  <c r="AC2140" i="28"/>
  <c r="AD2140" i="28"/>
  <c r="AE2140" i="28"/>
  <c r="AF2140" i="28"/>
  <c r="AG2140" i="28"/>
  <c r="B2141" i="28"/>
  <c r="C2141" i="28"/>
  <c r="D2141" i="28"/>
  <c r="E2141" i="28"/>
  <c r="F2141" i="28"/>
  <c r="G2141" i="28"/>
  <c r="H2141" i="28"/>
  <c r="I2141" i="28"/>
  <c r="J2141" i="28"/>
  <c r="K2141" i="28"/>
  <c r="L2141" i="28"/>
  <c r="M2141" i="28"/>
  <c r="N2141" i="28"/>
  <c r="O2141" i="28"/>
  <c r="P2141" i="28"/>
  <c r="Q2141" i="28"/>
  <c r="R2141" i="28"/>
  <c r="S2141" i="28"/>
  <c r="T2141" i="28"/>
  <c r="U2141" i="28"/>
  <c r="V2141" i="28"/>
  <c r="W2141" i="28"/>
  <c r="X2141" i="28"/>
  <c r="Y2141" i="28"/>
  <c r="Z2141" i="28"/>
  <c r="AA2141" i="28"/>
  <c r="AB2141" i="28"/>
  <c r="AC2141" i="28"/>
  <c r="AD2141" i="28"/>
  <c r="AE2141" i="28"/>
  <c r="AF2141" i="28"/>
  <c r="AG2141" i="28"/>
  <c r="B2142" i="28"/>
  <c r="C2142" i="28"/>
  <c r="D2142" i="28"/>
  <c r="E2142" i="28"/>
  <c r="F2142" i="28"/>
  <c r="G2142" i="28"/>
  <c r="H2142" i="28"/>
  <c r="I2142" i="28"/>
  <c r="J2142" i="28"/>
  <c r="K2142" i="28"/>
  <c r="L2142" i="28"/>
  <c r="M2142" i="28"/>
  <c r="N2142" i="28"/>
  <c r="O2142" i="28"/>
  <c r="P2142" i="28"/>
  <c r="Q2142" i="28"/>
  <c r="R2142" i="28"/>
  <c r="S2142" i="28"/>
  <c r="T2142" i="28"/>
  <c r="U2142" i="28"/>
  <c r="V2142" i="28"/>
  <c r="W2142" i="28"/>
  <c r="X2142" i="28"/>
  <c r="Y2142" i="28"/>
  <c r="Z2142" i="28"/>
  <c r="AA2142" i="28"/>
  <c r="AB2142" i="28"/>
  <c r="AC2142" i="28"/>
  <c r="AD2142" i="28"/>
  <c r="AE2142" i="28"/>
  <c r="AF2142" i="28"/>
  <c r="AG2142" i="28"/>
  <c r="B2143" i="28"/>
  <c r="C2143" i="28"/>
  <c r="D2143" i="28"/>
  <c r="E2143" i="28"/>
  <c r="F2143" i="28"/>
  <c r="G2143" i="28"/>
  <c r="H2143" i="28"/>
  <c r="I2143" i="28"/>
  <c r="J2143" i="28"/>
  <c r="K2143" i="28"/>
  <c r="L2143" i="28"/>
  <c r="M2143" i="28"/>
  <c r="N2143" i="28"/>
  <c r="O2143" i="28"/>
  <c r="P2143" i="28"/>
  <c r="Q2143" i="28"/>
  <c r="R2143" i="28"/>
  <c r="S2143" i="28"/>
  <c r="T2143" i="28"/>
  <c r="U2143" i="28"/>
  <c r="V2143" i="28"/>
  <c r="W2143" i="28"/>
  <c r="X2143" i="28"/>
  <c r="Y2143" i="28"/>
  <c r="Z2143" i="28"/>
  <c r="AA2143" i="28"/>
  <c r="AB2143" i="28"/>
  <c r="AC2143" i="28"/>
  <c r="AD2143" i="28"/>
  <c r="AE2143" i="28"/>
  <c r="AF2143" i="28"/>
  <c r="AG2143" i="28"/>
  <c r="B2144" i="28"/>
  <c r="C2144" i="28"/>
  <c r="D2144" i="28"/>
  <c r="E2144" i="28"/>
  <c r="F2144" i="28"/>
  <c r="G2144" i="28"/>
  <c r="H2144" i="28"/>
  <c r="I2144" i="28"/>
  <c r="J2144" i="28"/>
  <c r="K2144" i="28"/>
  <c r="L2144" i="28"/>
  <c r="M2144" i="28"/>
  <c r="N2144" i="28"/>
  <c r="O2144" i="28"/>
  <c r="P2144" i="28"/>
  <c r="Q2144" i="28"/>
  <c r="R2144" i="28"/>
  <c r="S2144" i="28"/>
  <c r="T2144" i="28"/>
  <c r="U2144" i="28"/>
  <c r="V2144" i="28"/>
  <c r="W2144" i="28"/>
  <c r="X2144" i="28"/>
  <c r="Y2144" i="28"/>
  <c r="Z2144" i="28"/>
  <c r="AA2144" i="28"/>
  <c r="AB2144" i="28"/>
  <c r="AC2144" i="28"/>
  <c r="AD2144" i="28"/>
  <c r="AE2144" i="28"/>
  <c r="AF2144" i="28"/>
  <c r="AG2144" i="28"/>
  <c r="B2145" i="28"/>
  <c r="C2145" i="28"/>
  <c r="D2145" i="28"/>
  <c r="E2145" i="28"/>
  <c r="F2145" i="28"/>
  <c r="G2145" i="28"/>
  <c r="H2145" i="28"/>
  <c r="I2145" i="28"/>
  <c r="J2145" i="28"/>
  <c r="K2145" i="28"/>
  <c r="L2145" i="28"/>
  <c r="M2145" i="28"/>
  <c r="N2145" i="28"/>
  <c r="O2145" i="28"/>
  <c r="P2145" i="28"/>
  <c r="Q2145" i="28"/>
  <c r="R2145" i="28"/>
  <c r="S2145" i="28"/>
  <c r="T2145" i="28"/>
  <c r="U2145" i="28"/>
  <c r="V2145" i="28"/>
  <c r="W2145" i="28"/>
  <c r="X2145" i="28"/>
  <c r="Y2145" i="28"/>
  <c r="Z2145" i="28"/>
  <c r="AA2145" i="28"/>
  <c r="AB2145" i="28"/>
  <c r="AC2145" i="28"/>
  <c r="AD2145" i="28"/>
  <c r="AE2145" i="28"/>
  <c r="AF2145" i="28"/>
  <c r="AG2145" i="28"/>
  <c r="B2146" i="28"/>
  <c r="C2146" i="28"/>
  <c r="D2146" i="28"/>
  <c r="E2146" i="28"/>
  <c r="F2146" i="28"/>
  <c r="G2146" i="28"/>
  <c r="H2146" i="28"/>
  <c r="I2146" i="28"/>
  <c r="J2146" i="28"/>
  <c r="K2146" i="28"/>
  <c r="L2146" i="28"/>
  <c r="M2146" i="28"/>
  <c r="N2146" i="28"/>
  <c r="O2146" i="28"/>
  <c r="P2146" i="28"/>
  <c r="Q2146" i="28"/>
  <c r="R2146" i="28"/>
  <c r="S2146" i="28"/>
  <c r="T2146" i="28"/>
  <c r="U2146" i="28"/>
  <c r="V2146" i="28"/>
  <c r="W2146" i="28"/>
  <c r="X2146" i="28"/>
  <c r="Y2146" i="28"/>
  <c r="Z2146" i="28"/>
  <c r="AA2146" i="28"/>
  <c r="AB2146" i="28"/>
  <c r="AC2146" i="28"/>
  <c r="AD2146" i="28"/>
  <c r="AE2146" i="28"/>
  <c r="AF2146" i="28"/>
  <c r="AG2146" i="28"/>
  <c r="B2147" i="28"/>
  <c r="C2147" i="28"/>
  <c r="D2147" i="28"/>
  <c r="E2147" i="28"/>
  <c r="F2147" i="28"/>
  <c r="G2147" i="28"/>
  <c r="H2147" i="28"/>
  <c r="I2147" i="28"/>
  <c r="J2147" i="28"/>
  <c r="K2147" i="28"/>
  <c r="L2147" i="28"/>
  <c r="M2147" i="28"/>
  <c r="N2147" i="28"/>
  <c r="O2147" i="28"/>
  <c r="P2147" i="28"/>
  <c r="Q2147" i="28"/>
  <c r="R2147" i="28"/>
  <c r="S2147" i="28"/>
  <c r="T2147" i="28"/>
  <c r="U2147" i="28"/>
  <c r="V2147" i="28"/>
  <c r="W2147" i="28"/>
  <c r="X2147" i="28"/>
  <c r="Y2147" i="28"/>
  <c r="Z2147" i="28"/>
  <c r="AA2147" i="28"/>
  <c r="AB2147" i="28"/>
  <c r="AC2147" i="28"/>
  <c r="AD2147" i="28"/>
  <c r="AE2147" i="28"/>
  <c r="AF2147" i="28"/>
  <c r="AG2147" i="28"/>
  <c r="B2148" i="28"/>
  <c r="C2148" i="28"/>
  <c r="D2148" i="28"/>
  <c r="E2148" i="28"/>
  <c r="F2148" i="28"/>
  <c r="G2148" i="28"/>
  <c r="H2148" i="28"/>
  <c r="I2148" i="28"/>
  <c r="J2148" i="28"/>
  <c r="K2148" i="28"/>
  <c r="L2148" i="28"/>
  <c r="M2148" i="28"/>
  <c r="N2148" i="28"/>
  <c r="O2148" i="28"/>
  <c r="P2148" i="28"/>
  <c r="Q2148" i="28"/>
  <c r="R2148" i="28"/>
  <c r="S2148" i="28"/>
  <c r="T2148" i="28"/>
  <c r="U2148" i="28"/>
  <c r="V2148" i="28"/>
  <c r="W2148" i="28"/>
  <c r="X2148" i="28"/>
  <c r="Y2148" i="28"/>
  <c r="Z2148" i="28"/>
  <c r="AA2148" i="28"/>
  <c r="AB2148" i="28"/>
  <c r="AC2148" i="28"/>
  <c r="AD2148" i="28"/>
  <c r="AE2148" i="28"/>
  <c r="AF2148" i="28"/>
  <c r="AG2148" i="28"/>
  <c r="B2149" i="28"/>
  <c r="C2149" i="28"/>
  <c r="D2149" i="28"/>
  <c r="E2149" i="28"/>
  <c r="F2149" i="28"/>
  <c r="G2149" i="28"/>
  <c r="H2149" i="28"/>
  <c r="I2149" i="28"/>
  <c r="J2149" i="28"/>
  <c r="K2149" i="28"/>
  <c r="L2149" i="28"/>
  <c r="M2149" i="28"/>
  <c r="N2149" i="28"/>
  <c r="O2149" i="28"/>
  <c r="P2149" i="28"/>
  <c r="Q2149" i="28"/>
  <c r="R2149" i="28"/>
  <c r="S2149" i="28"/>
  <c r="T2149" i="28"/>
  <c r="U2149" i="28"/>
  <c r="V2149" i="28"/>
  <c r="W2149" i="28"/>
  <c r="X2149" i="28"/>
  <c r="Y2149" i="28"/>
  <c r="Z2149" i="28"/>
  <c r="AA2149" i="28"/>
  <c r="AB2149" i="28"/>
  <c r="AC2149" i="28"/>
  <c r="AD2149" i="28"/>
  <c r="AE2149" i="28"/>
  <c r="AF2149" i="28"/>
  <c r="AG2149" i="28"/>
  <c r="B2150" i="28"/>
  <c r="C2150" i="28"/>
  <c r="D2150" i="28"/>
  <c r="E2150" i="28"/>
  <c r="F2150" i="28"/>
  <c r="G2150" i="28"/>
  <c r="H2150" i="28"/>
  <c r="I2150" i="28"/>
  <c r="J2150" i="28"/>
  <c r="K2150" i="28"/>
  <c r="L2150" i="28"/>
  <c r="M2150" i="28"/>
  <c r="N2150" i="28"/>
  <c r="O2150" i="28"/>
  <c r="P2150" i="28"/>
  <c r="Q2150" i="28"/>
  <c r="R2150" i="28"/>
  <c r="S2150" i="28"/>
  <c r="T2150" i="28"/>
  <c r="U2150" i="28"/>
  <c r="V2150" i="28"/>
  <c r="W2150" i="28"/>
  <c r="X2150" i="28"/>
  <c r="Y2150" i="28"/>
  <c r="Z2150" i="28"/>
  <c r="AA2150" i="28"/>
  <c r="AB2150" i="28"/>
  <c r="AC2150" i="28"/>
  <c r="AD2150" i="28"/>
  <c r="AE2150" i="28"/>
  <c r="AF2150" i="28"/>
  <c r="AG2150" i="28"/>
  <c r="B2151" i="28"/>
  <c r="C2151" i="28"/>
  <c r="D2151" i="28"/>
  <c r="E2151" i="28"/>
  <c r="F2151" i="28"/>
  <c r="G2151" i="28"/>
  <c r="H2151" i="28"/>
  <c r="I2151" i="28"/>
  <c r="J2151" i="28"/>
  <c r="K2151" i="28"/>
  <c r="L2151" i="28"/>
  <c r="M2151" i="28"/>
  <c r="N2151" i="28"/>
  <c r="O2151" i="28"/>
  <c r="P2151" i="28"/>
  <c r="Q2151" i="28"/>
  <c r="R2151" i="28"/>
  <c r="S2151" i="28"/>
  <c r="T2151" i="28"/>
  <c r="U2151" i="28"/>
  <c r="V2151" i="28"/>
  <c r="W2151" i="28"/>
  <c r="X2151" i="28"/>
  <c r="Y2151" i="28"/>
  <c r="Z2151" i="28"/>
  <c r="AA2151" i="28"/>
  <c r="AB2151" i="28"/>
  <c r="AC2151" i="28"/>
  <c r="AD2151" i="28"/>
  <c r="AE2151" i="28"/>
  <c r="AF2151" i="28"/>
  <c r="AG2151" i="28"/>
  <c r="B2152" i="28"/>
  <c r="C2152" i="28"/>
  <c r="D2152" i="28"/>
  <c r="E2152" i="28"/>
  <c r="F2152" i="28"/>
  <c r="G2152" i="28"/>
  <c r="H2152" i="28"/>
  <c r="I2152" i="28"/>
  <c r="J2152" i="28"/>
  <c r="K2152" i="28"/>
  <c r="L2152" i="28"/>
  <c r="M2152" i="28"/>
  <c r="N2152" i="28"/>
  <c r="O2152" i="28"/>
  <c r="P2152" i="28"/>
  <c r="Q2152" i="28"/>
  <c r="R2152" i="28"/>
  <c r="S2152" i="28"/>
  <c r="T2152" i="28"/>
  <c r="U2152" i="28"/>
  <c r="V2152" i="28"/>
  <c r="W2152" i="28"/>
  <c r="X2152" i="28"/>
  <c r="Y2152" i="28"/>
  <c r="Z2152" i="28"/>
  <c r="AA2152" i="28"/>
  <c r="AB2152" i="28"/>
  <c r="AC2152" i="28"/>
  <c r="AD2152" i="28"/>
  <c r="AE2152" i="28"/>
  <c r="AF2152" i="28"/>
  <c r="AG2152" i="28"/>
  <c r="B2153" i="28"/>
  <c r="C2153" i="28"/>
  <c r="D2153" i="28"/>
  <c r="E2153" i="28"/>
  <c r="F2153" i="28"/>
  <c r="G2153" i="28"/>
  <c r="H2153" i="28"/>
  <c r="I2153" i="28"/>
  <c r="J2153" i="28"/>
  <c r="K2153" i="28"/>
  <c r="L2153" i="28"/>
  <c r="M2153" i="28"/>
  <c r="N2153" i="28"/>
  <c r="O2153" i="28"/>
  <c r="P2153" i="28"/>
  <c r="Q2153" i="28"/>
  <c r="R2153" i="28"/>
  <c r="S2153" i="28"/>
  <c r="T2153" i="28"/>
  <c r="U2153" i="28"/>
  <c r="V2153" i="28"/>
  <c r="W2153" i="28"/>
  <c r="X2153" i="28"/>
  <c r="Y2153" i="28"/>
  <c r="Z2153" i="28"/>
  <c r="AA2153" i="28"/>
  <c r="AB2153" i="28"/>
  <c r="AC2153" i="28"/>
  <c r="AD2153" i="28"/>
  <c r="AE2153" i="28"/>
  <c r="AF2153" i="28"/>
  <c r="AG2153" i="28"/>
  <c r="B2154" i="28"/>
  <c r="C2154" i="28"/>
  <c r="D2154" i="28"/>
  <c r="E2154" i="28"/>
  <c r="F2154" i="28"/>
  <c r="G2154" i="28"/>
  <c r="H2154" i="28"/>
  <c r="I2154" i="28"/>
  <c r="J2154" i="28"/>
  <c r="K2154" i="28"/>
  <c r="L2154" i="28"/>
  <c r="M2154" i="28"/>
  <c r="N2154" i="28"/>
  <c r="O2154" i="28"/>
  <c r="P2154" i="28"/>
  <c r="Q2154" i="28"/>
  <c r="R2154" i="28"/>
  <c r="S2154" i="28"/>
  <c r="T2154" i="28"/>
  <c r="U2154" i="28"/>
  <c r="V2154" i="28"/>
  <c r="W2154" i="28"/>
  <c r="X2154" i="28"/>
  <c r="Y2154" i="28"/>
  <c r="Z2154" i="28"/>
  <c r="AA2154" i="28"/>
  <c r="AB2154" i="28"/>
  <c r="AC2154" i="28"/>
  <c r="AD2154" i="28"/>
  <c r="AE2154" i="28"/>
  <c r="AF2154" i="28"/>
  <c r="AG2154" i="28"/>
  <c r="B2155" i="28"/>
  <c r="C2155" i="28"/>
  <c r="D2155" i="28"/>
  <c r="E2155" i="28"/>
  <c r="F2155" i="28"/>
  <c r="G2155" i="28"/>
  <c r="H2155" i="28"/>
  <c r="I2155" i="28"/>
  <c r="J2155" i="28"/>
  <c r="K2155" i="28"/>
  <c r="L2155" i="28"/>
  <c r="M2155" i="28"/>
  <c r="N2155" i="28"/>
  <c r="O2155" i="28"/>
  <c r="P2155" i="28"/>
  <c r="Q2155" i="28"/>
  <c r="R2155" i="28"/>
  <c r="S2155" i="28"/>
  <c r="T2155" i="28"/>
  <c r="U2155" i="28"/>
  <c r="V2155" i="28"/>
  <c r="W2155" i="28"/>
  <c r="X2155" i="28"/>
  <c r="Y2155" i="28"/>
  <c r="Z2155" i="28"/>
  <c r="AA2155" i="28"/>
  <c r="AB2155" i="28"/>
  <c r="AC2155" i="28"/>
  <c r="AD2155" i="28"/>
  <c r="AE2155" i="28"/>
  <c r="AF2155" i="28"/>
  <c r="AG2155" i="28"/>
  <c r="B2156" i="28"/>
  <c r="C2156" i="28"/>
  <c r="D2156" i="28"/>
  <c r="E2156" i="28"/>
  <c r="F2156" i="28"/>
  <c r="G2156" i="28"/>
  <c r="H2156" i="28"/>
  <c r="I2156" i="28"/>
  <c r="J2156" i="28"/>
  <c r="K2156" i="28"/>
  <c r="L2156" i="28"/>
  <c r="M2156" i="28"/>
  <c r="N2156" i="28"/>
  <c r="O2156" i="28"/>
  <c r="P2156" i="28"/>
  <c r="Q2156" i="28"/>
  <c r="R2156" i="28"/>
  <c r="S2156" i="28"/>
  <c r="T2156" i="28"/>
  <c r="U2156" i="28"/>
  <c r="V2156" i="28"/>
  <c r="W2156" i="28"/>
  <c r="X2156" i="28"/>
  <c r="Y2156" i="28"/>
  <c r="Z2156" i="28"/>
  <c r="AA2156" i="28"/>
  <c r="AB2156" i="28"/>
  <c r="AC2156" i="28"/>
  <c r="AD2156" i="28"/>
  <c r="AE2156" i="28"/>
  <c r="AF2156" i="28"/>
  <c r="AG2156" i="28"/>
  <c r="B2157" i="28"/>
  <c r="C2157" i="28"/>
  <c r="D2157" i="28"/>
  <c r="E2157" i="28"/>
  <c r="F2157" i="28"/>
  <c r="G2157" i="28"/>
  <c r="H2157" i="28"/>
  <c r="I2157" i="28"/>
  <c r="J2157" i="28"/>
  <c r="K2157" i="28"/>
  <c r="L2157" i="28"/>
  <c r="M2157" i="28"/>
  <c r="N2157" i="28"/>
  <c r="O2157" i="28"/>
  <c r="P2157" i="28"/>
  <c r="Q2157" i="28"/>
  <c r="R2157" i="28"/>
  <c r="S2157" i="28"/>
  <c r="T2157" i="28"/>
  <c r="U2157" i="28"/>
  <c r="V2157" i="28"/>
  <c r="W2157" i="28"/>
  <c r="X2157" i="28"/>
  <c r="Y2157" i="28"/>
  <c r="Z2157" i="28"/>
  <c r="AA2157" i="28"/>
  <c r="AB2157" i="28"/>
  <c r="AC2157" i="28"/>
  <c r="AD2157" i="28"/>
  <c r="AE2157" i="28"/>
  <c r="AF2157" i="28"/>
  <c r="AG2157" i="28"/>
  <c r="B2158" i="28"/>
  <c r="C2158" i="28"/>
  <c r="D2158" i="28"/>
  <c r="E2158" i="28"/>
  <c r="F2158" i="28"/>
  <c r="G2158" i="28"/>
  <c r="H2158" i="28"/>
  <c r="I2158" i="28"/>
  <c r="J2158" i="28"/>
  <c r="K2158" i="28"/>
  <c r="L2158" i="28"/>
  <c r="M2158" i="28"/>
  <c r="N2158" i="28"/>
  <c r="O2158" i="28"/>
  <c r="P2158" i="28"/>
  <c r="Q2158" i="28"/>
  <c r="R2158" i="28"/>
  <c r="S2158" i="28"/>
  <c r="T2158" i="28"/>
  <c r="U2158" i="28"/>
  <c r="V2158" i="28"/>
  <c r="W2158" i="28"/>
  <c r="X2158" i="28"/>
  <c r="Y2158" i="28"/>
  <c r="Z2158" i="28"/>
  <c r="AA2158" i="28"/>
  <c r="AB2158" i="28"/>
  <c r="AC2158" i="28"/>
  <c r="AD2158" i="28"/>
  <c r="AE2158" i="28"/>
  <c r="AF2158" i="28"/>
  <c r="AG2158" i="28"/>
  <c r="B2159" i="28"/>
  <c r="C2159" i="28"/>
  <c r="D2159" i="28"/>
  <c r="E2159" i="28"/>
  <c r="F2159" i="28"/>
  <c r="G2159" i="28"/>
  <c r="H2159" i="28"/>
  <c r="I2159" i="28"/>
  <c r="J2159" i="28"/>
  <c r="K2159" i="28"/>
  <c r="L2159" i="28"/>
  <c r="M2159" i="28"/>
  <c r="N2159" i="28"/>
  <c r="O2159" i="28"/>
  <c r="P2159" i="28"/>
  <c r="Q2159" i="28"/>
  <c r="R2159" i="28"/>
  <c r="S2159" i="28"/>
  <c r="T2159" i="28"/>
  <c r="U2159" i="28"/>
  <c r="V2159" i="28"/>
  <c r="W2159" i="28"/>
  <c r="X2159" i="28"/>
  <c r="Y2159" i="28"/>
  <c r="Z2159" i="28"/>
  <c r="AA2159" i="28"/>
  <c r="AB2159" i="28"/>
  <c r="AC2159" i="28"/>
  <c r="AD2159" i="28"/>
  <c r="AE2159" i="28"/>
  <c r="AF2159" i="28"/>
  <c r="AG2159" i="28"/>
  <c r="B2160" i="28"/>
  <c r="C2160" i="28"/>
  <c r="D2160" i="28"/>
  <c r="E2160" i="28"/>
  <c r="F2160" i="28"/>
  <c r="G2160" i="28"/>
  <c r="H2160" i="28"/>
  <c r="I2160" i="28"/>
  <c r="J2160" i="28"/>
  <c r="K2160" i="28"/>
  <c r="L2160" i="28"/>
  <c r="M2160" i="28"/>
  <c r="N2160" i="28"/>
  <c r="O2160" i="28"/>
  <c r="P2160" i="28"/>
  <c r="Q2160" i="28"/>
  <c r="R2160" i="28"/>
  <c r="S2160" i="28"/>
  <c r="T2160" i="28"/>
  <c r="U2160" i="28"/>
  <c r="V2160" i="28"/>
  <c r="W2160" i="28"/>
  <c r="X2160" i="28"/>
  <c r="Y2160" i="28"/>
  <c r="Z2160" i="28"/>
  <c r="AA2160" i="28"/>
  <c r="AB2160" i="28"/>
  <c r="AC2160" i="28"/>
  <c r="AD2160" i="28"/>
  <c r="AE2160" i="28"/>
  <c r="AF2160" i="28"/>
  <c r="AG2160" i="28"/>
  <c r="B2161" i="28"/>
  <c r="C2161" i="28"/>
  <c r="D2161" i="28"/>
  <c r="E2161" i="28"/>
  <c r="F2161" i="28"/>
  <c r="G2161" i="28"/>
  <c r="H2161" i="28"/>
  <c r="I2161" i="28"/>
  <c r="J2161" i="28"/>
  <c r="K2161" i="28"/>
  <c r="L2161" i="28"/>
  <c r="M2161" i="28"/>
  <c r="N2161" i="28"/>
  <c r="O2161" i="28"/>
  <c r="P2161" i="28"/>
  <c r="Q2161" i="28"/>
  <c r="R2161" i="28"/>
  <c r="S2161" i="28"/>
  <c r="T2161" i="28"/>
  <c r="U2161" i="28"/>
  <c r="V2161" i="28"/>
  <c r="W2161" i="28"/>
  <c r="X2161" i="28"/>
  <c r="Y2161" i="28"/>
  <c r="Z2161" i="28"/>
  <c r="AA2161" i="28"/>
  <c r="AB2161" i="28"/>
  <c r="AC2161" i="28"/>
  <c r="AD2161" i="28"/>
  <c r="AE2161" i="28"/>
  <c r="AF2161" i="28"/>
  <c r="AG2161" i="28"/>
  <c r="B2162" i="28"/>
  <c r="C2162" i="28"/>
  <c r="D2162" i="28"/>
  <c r="E2162" i="28"/>
  <c r="F2162" i="28"/>
  <c r="G2162" i="28"/>
  <c r="H2162" i="28"/>
  <c r="I2162" i="28"/>
  <c r="J2162" i="28"/>
  <c r="K2162" i="28"/>
  <c r="L2162" i="28"/>
  <c r="M2162" i="28"/>
  <c r="N2162" i="28"/>
  <c r="O2162" i="28"/>
  <c r="P2162" i="28"/>
  <c r="Q2162" i="28"/>
  <c r="R2162" i="28"/>
  <c r="S2162" i="28"/>
  <c r="T2162" i="28"/>
  <c r="U2162" i="28"/>
  <c r="V2162" i="28"/>
  <c r="W2162" i="28"/>
  <c r="X2162" i="28"/>
  <c r="Y2162" i="28"/>
  <c r="Z2162" i="28"/>
  <c r="AA2162" i="28"/>
  <c r="AB2162" i="28"/>
  <c r="AC2162" i="28"/>
  <c r="AD2162" i="28"/>
  <c r="AE2162" i="28"/>
  <c r="AF2162" i="28"/>
  <c r="AG2162" i="28"/>
  <c r="B2163" i="28"/>
  <c r="C2163" i="28"/>
  <c r="D2163" i="28"/>
  <c r="E2163" i="28"/>
  <c r="F2163" i="28"/>
  <c r="G2163" i="28"/>
  <c r="H2163" i="28"/>
  <c r="I2163" i="28"/>
  <c r="J2163" i="28"/>
  <c r="K2163" i="28"/>
  <c r="L2163" i="28"/>
  <c r="M2163" i="28"/>
  <c r="N2163" i="28"/>
  <c r="O2163" i="28"/>
  <c r="P2163" i="28"/>
  <c r="Q2163" i="28"/>
  <c r="R2163" i="28"/>
  <c r="S2163" i="28"/>
  <c r="T2163" i="28"/>
  <c r="U2163" i="28"/>
  <c r="V2163" i="28"/>
  <c r="W2163" i="28"/>
  <c r="X2163" i="28"/>
  <c r="Y2163" i="28"/>
  <c r="Z2163" i="28"/>
  <c r="AA2163" i="28"/>
  <c r="AB2163" i="28"/>
  <c r="AC2163" i="28"/>
  <c r="AD2163" i="28"/>
  <c r="AE2163" i="28"/>
  <c r="AF2163" i="28"/>
  <c r="AG2163" i="28"/>
  <c r="B2164" i="28"/>
  <c r="C2164" i="28"/>
  <c r="D2164" i="28"/>
  <c r="E2164" i="28"/>
  <c r="F2164" i="28"/>
  <c r="G2164" i="28"/>
  <c r="H2164" i="28"/>
  <c r="I2164" i="28"/>
  <c r="J2164" i="28"/>
  <c r="K2164" i="28"/>
  <c r="L2164" i="28"/>
  <c r="M2164" i="28"/>
  <c r="N2164" i="28"/>
  <c r="O2164" i="28"/>
  <c r="P2164" i="28"/>
  <c r="Q2164" i="28"/>
  <c r="R2164" i="28"/>
  <c r="S2164" i="28"/>
  <c r="T2164" i="28"/>
  <c r="U2164" i="28"/>
  <c r="V2164" i="28"/>
  <c r="W2164" i="28"/>
  <c r="X2164" i="28"/>
  <c r="Y2164" i="28"/>
  <c r="Z2164" i="28"/>
  <c r="AA2164" i="28"/>
  <c r="AB2164" i="28"/>
  <c r="AC2164" i="28"/>
  <c r="AD2164" i="28"/>
  <c r="AE2164" i="28"/>
  <c r="AF2164" i="28"/>
  <c r="AG2164" i="28"/>
  <c r="B2165" i="28"/>
  <c r="C2165" i="28"/>
  <c r="D2165" i="28"/>
  <c r="E2165" i="28"/>
  <c r="F2165" i="28"/>
  <c r="G2165" i="28"/>
  <c r="H2165" i="28"/>
  <c r="I2165" i="28"/>
  <c r="J2165" i="28"/>
  <c r="K2165" i="28"/>
  <c r="L2165" i="28"/>
  <c r="M2165" i="28"/>
  <c r="N2165" i="28"/>
  <c r="O2165" i="28"/>
  <c r="P2165" i="28"/>
  <c r="Q2165" i="28"/>
  <c r="R2165" i="28"/>
  <c r="S2165" i="28"/>
  <c r="T2165" i="28"/>
  <c r="U2165" i="28"/>
  <c r="V2165" i="28"/>
  <c r="W2165" i="28"/>
  <c r="X2165" i="28"/>
  <c r="Y2165" i="28"/>
  <c r="Z2165" i="28"/>
  <c r="AA2165" i="28"/>
  <c r="AB2165" i="28"/>
  <c r="AC2165" i="28"/>
  <c r="AD2165" i="28"/>
  <c r="AE2165" i="28"/>
  <c r="AF2165" i="28"/>
  <c r="AG2165" i="28"/>
  <c r="B2166" i="28"/>
  <c r="C2166" i="28"/>
  <c r="D2166" i="28"/>
  <c r="E2166" i="28"/>
  <c r="F2166" i="28"/>
  <c r="G2166" i="28"/>
  <c r="H2166" i="28"/>
  <c r="I2166" i="28"/>
  <c r="J2166" i="28"/>
  <c r="K2166" i="28"/>
  <c r="L2166" i="28"/>
  <c r="M2166" i="28"/>
  <c r="N2166" i="28"/>
  <c r="O2166" i="28"/>
  <c r="P2166" i="28"/>
  <c r="Q2166" i="28"/>
  <c r="R2166" i="28"/>
  <c r="S2166" i="28"/>
  <c r="T2166" i="28"/>
  <c r="U2166" i="28"/>
  <c r="V2166" i="28"/>
  <c r="W2166" i="28"/>
  <c r="X2166" i="28"/>
  <c r="Y2166" i="28"/>
  <c r="Z2166" i="28"/>
  <c r="AA2166" i="28"/>
  <c r="AB2166" i="28"/>
  <c r="AC2166" i="28"/>
  <c r="AD2166" i="28"/>
  <c r="AE2166" i="28"/>
  <c r="AF2166" i="28"/>
  <c r="AG2166" i="28"/>
  <c r="B2167" i="28"/>
  <c r="C2167" i="28"/>
  <c r="D2167" i="28"/>
  <c r="E2167" i="28"/>
  <c r="F2167" i="28"/>
  <c r="G2167" i="28"/>
  <c r="H2167" i="28"/>
  <c r="I2167" i="28"/>
  <c r="J2167" i="28"/>
  <c r="K2167" i="28"/>
  <c r="L2167" i="28"/>
  <c r="M2167" i="28"/>
  <c r="N2167" i="28"/>
  <c r="O2167" i="28"/>
  <c r="P2167" i="28"/>
  <c r="Q2167" i="28"/>
  <c r="R2167" i="28"/>
  <c r="S2167" i="28"/>
  <c r="T2167" i="28"/>
  <c r="U2167" i="28"/>
  <c r="V2167" i="28"/>
  <c r="W2167" i="28"/>
  <c r="X2167" i="28"/>
  <c r="Y2167" i="28"/>
  <c r="Z2167" i="28"/>
  <c r="AA2167" i="28"/>
  <c r="AB2167" i="28"/>
  <c r="AC2167" i="28"/>
  <c r="AD2167" i="28"/>
  <c r="AE2167" i="28"/>
  <c r="AF2167" i="28"/>
  <c r="AG2167" i="28"/>
  <c r="B2168" i="28"/>
  <c r="C2168" i="28"/>
  <c r="D2168" i="28"/>
  <c r="E2168" i="28"/>
  <c r="F2168" i="28"/>
  <c r="G2168" i="28"/>
  <c r="H2168" i="28"/>
  <c r="I2168" i="28"/>
  <c r="J2168" i="28"/>
  <c r="K2168" i="28"/>
  <c r="L2168" i="28"/>
  <c r="M2168" i="28"/>
  <c r="N2168" i="28"/>
  <c r="O2168" i="28"/>
  <c r="P2168" i="28"/>
  <c r="Q2168" i="28"/>
  <c r="R2168" i="28"/>
  <c r="S2168" i="28"/>
  <c r="T2168" i="28"/>
  <c r="U2168" i="28"/>
  <c r="V2168" i="28"/>
  <c r="W2168" i="28"/>
  <c r="X2168" i="28"/>
  <c r="Y2168" i="28"/>
  <c r="Z2168" i="28"/>
  <c r="AA2168" i="28"/>
  <c r="AB2168" i="28"/>
  <c r="AC2168" i="28"/>
  <c r="AD2168" i="28"/>
  <c r="AE2168" i="28"/>
  <c r="AF2168" i="28"/>
  <c r="AG2168" i="28"/>
  <c r="B2172" i="28"/>
  <c r="B2173" i="28"/>
  <c r="B2174" i="28"/>
  <c r="B2175" i="28"/>
  <c r="B2176" i="28"/>
  <c r="B2177" i="28"/>
  <c r="B2181" i="28"/>
  <c r="B2182" i="28"/>
  <c r="B2183" i="28"/>
  <c r="B2368" i="28"/>
  <c r="C2368" i="28"/>
  <c r="D2368" i="28"/>
  <c r="E2368" i="28"/>
  <c r="F2368" i="28"/>
  <c r="G2368" i="28"/>
  <c r="H2368" i="28"/>
  <c r="I2368" i="28"/>
  <c r="J2368" i="28"/>
  <c r="K2368" i="28"/>
  <c r="L2368" i="28"/>
  <c r="M2368" i="28"/>
  <c r="N2368" i="28"/>
  <c r="O2368" i="28"/>
  <c r="P2368" i="28"/>
  <c r="Q2368" i="28"/>
  <c r="R2368" i="28"/>
  <c r="S2368" i="28"/>
  <c r="B2369" i="28"/>
  <c r="C2369" i="28"/>
  <c r="D2369" i="28"/>
  <c r="E2369" i="28"/>
  <c r="F2369" i="28"/>
  <c r="G2369" i="28"/>
  <c r="H2369" i="28"/>
  <c r="I2369" i="28"/>
  <c r="J2369" i="28"/>
  <c r="K2369" i="28"/>
  <c r="L2369" i="28"/>
  <c r="M2369" i="28"/>
  <c r="N2369" i="28"/>
  <c r="O2369" i="28"/>
  <c r="P2369" i="28"/>
  <c r="Q2369" i="28"/>
  <c r="R2369" i="28"/>
  <c r="S2369" i="28"/>
  <c r="B2378" i="28"/>
  <c r="C2378" i="28"/>
  <c r="D2378" i="28"/>
  <c r="E2378" i="28"/>
  <c r="F2378" i="28"/>
  <c r="G2378" i="28"/>
  <c r="H2378" i="28"/>
  <c r="I2378" i="28"/>
  <c r="J2378" i="28"/>
  <c r="K2378" i="28"/>
  <c r="L2378" i="28"/>
  <c r="M2378" i="28"/>
  <c r="N2378" i="28"/>
  <c r="O2378" i="28"/>
  <c r="P2378" i="28"/>
  <c r="Q2378" i="28"/>
  <c r="R2378" i="28"/>
  <c r="S2378" i="28"/>
  <c r="T2378" i="28"/>
  <c r="U2378" i="28"/>
  <c r="V2378" i="28"/>
  <c r="W2378" i="28"/>
  <c r="X2378" i="28"/>
  <c r="Y2378" i="28"/>
  <c r="Z2378" i="28"/>
  <c r="AA2378" i="28"/>
  <c r="AB2378" i="28"/>
  <c r="AC2378" i="28"/>
  <c r="AD2378" i="28"/>
  <c r="AE2378" i="28"/>
  <c r="AF2378" i="28"/>
  <c r="AG2378" i="28"/>
  <c r="AH2378" i="28"/>
  <c r="AI2378" i="28"/>
  <c r="AJ2378" i="28"/>
  <c r="AK2378" i="28"/>
  <c r="AL2378" i="28"/>
  <c r="AM2378" i="28"/>
  <c r="AN2378" i="28"/>
  <c r="AO2378" i="28"/>
  <c r="AP2378" i="28"/>
  <c r="AQ2378" i="28"/>
  <c r="AR2378" i="28"/>
  <c r="AS2378" i="28"/>
  <c r="AT2378" i="28"/>
  <c r="AU2378" i="28"/>
  <c r="AV2378" i="28"/>
  <c r="AW2378" i="28"/>
  <c r="AX2378" i="28"/>
  <c r="AY2378" i="28"/>
  <c r="AZ2378" i="28"/>
  <c r="BA2378" i="28"/>
  <c r="BB2378" i="28"/>
  <c r="BC2378" i="28"/>
  <c r="BD2378" i="28"/>
  <c r="BE2378" i="28"/>
  <c r="BF2378" i="28"/>
  <c r="BG2378" i="28"/>
  <c r="BH2378" i="28"/>
  <c r="BI2378" i="28"/>
  <c r="BJ2378" i="28"/>
  <c r="BK2378" i="28"/>
  <c r="BL2378" i="28"/>
  <c r="BM2378" i="28"/>
  <c r="B2389" i="28"/>
  <c r="C2389" i="28"/>
  <c r="D2389" i="28"/>
  <c r="E2389" i="28"/>
  <c r="F2389" i="28"/>
  <c r="G2389" i="28"/>
  <c r="H2389" i="28"/>
  <c r="I2389" i="28"/>
  <c r="J2389" i="28"/>
  <c r="S4" i="18" s="1"/>
  <c r="K2389" i="28"/>
  <c r="T4" i="18" s="1"/>
  <c r="L2389" i="28"/>
  <c r="M2389" i="28"/>
  <c r="N2389" i="28"/>
  <c r="O2389" i="28"/>
  <c r="P2389" i="28"/>
  <c r="Q2389" i="28"/>
  <c r="B2390" i="28"/>
  <c r="C2390" i="28"/>
  <c r="D2390" i="28"/>
  <c r="E2390" i="28"/>
  <c r="F2390" i="28"/>
  <c r="G2390" i="28"/>
  <c r="H2390" i="28"/>
  <c r="I2390" i="28"/>
  <c r="J2390" i="28"/>
  <c r="S5" i="18" s="1"/>
  <c r="K2390" i="28"/>
  <c r="L2390" i="28"/>
  <c r="M2390" i="28"/>
  <c r="N2390" i="28"/>
  <c r="O2390" i="28"/>
  <c r="P2390" i="28"/>
  <c r="Q2390" i="28"/>
  <c r="B2395" i="28"/>
  <c r="C2395" i="28"/>
  <c r="D2395" i="28"/>
  <c r="E2395" i="28"/>
  <c r="F2395" i="28"/>
  <c r="G2395" i="28"/>
  <c r="H2395" i="28"/>
  <c r="I2395" i="28"/>
  <c r="J2395" i="28"/>
  <c r="K2395" i="28"/>
  <c r="T7" i="18" s="1"/>
  <c r="L2395" i="28"/>
  <c r="M2395" i="28"/>
  <c r="N2395" i="28"/>
  <c r="O2395" i="28"/>
  <c r="P2395" i="28"/>
  <c r="Q2395" i="28"/>
  <c r="B2396" i="28"/>
  <c r="C2396" i="28"/>
  <c r="D2396" i="28"/>
  <c r="E2396" i="28"/>
  <c r="F2396" i="28"/>
  <c r="G2396" i="28"/>
  <c r="H2396" i="28"/>
  <c r="I2396" i="28"/>
  <c r="J2396" i="28"/>
  <c r="K2396" i="28"/>
  <c r="T8" i="18" s="1"/>
  <c r="L2396" i="28"/>
  <c r="M2396" i="28"/>
  <c r="N2396" i="28"/>
  <c r="O2396" i="28"/>
  <c r="P2396" i="28"/>
  <c r="Q2396" i="28"/>
  <c r="B2401" i="28"/>
  <c r="C2401" i="28"/>
  <c r="D2401" i="28"/>
  <c r="E2401" i="28"/>
  <c r="F2401" i="28"/>
  <c r="G2401" i="28"/>
  <c r="H2401" i="28"/>
  <c r="I2401" i="28"/>
  <c r="J2401" i="28"/>
  <c r="S10" i="18" s="1"/>
  <c r="K2401" i="28"/>
  <c r="T10" i="18" s="1"/>
  <c r="L2401" i="28"/>
  <c r="M2401" i="28"/>
  <c r="N2401" i="28"/>
  <c r="O2401" i="28"/>
  <c r="P2401" i="28"/>
  <c r="Q2401" i="28"/>
  <c r="B2402" i="28"/>
  <c r="C2402" i="28"/>
  <c r="D2402" i="28"/>
  <c r="E2402" i="28"/>
  <c r="F2402" i="28"/>
  <c r="G2402" i="28"/>
  <c r="H2402" i="28"/>
  <c r="I2402" i="28"/>
  <c r="J2402" i="28"/>
  <c r="K2402" i="28"/>
  <c r="T11" i="18" s="1"/>
  <c r="L2402" i="28"/>
  <c r="M2402" i="28"/>
  <c r="N2402" i="28"/>
  <c r="O2402" i="28"/>
  <c r="P2402" i="28"/>
  <c r="Q2402" i="28"/>
  <c r="B2407" i="28"/>
  <c r="C2407" i="28"/>
  <c r="D2407" i="28"/>
  <c r="E2407" i="28"/>
  <c r="F2407" i="28"/>
  <c r="G2407" i="28"/>
  <c r="H2407" i="28"/>
  <c r="I2407" i="28"/>
  <c r="J2407" i="28"/>
  <c r="S13" i="18" s="1"/>
  <c r="K2407" i="28"/>
  <c r="T13" i="18" s="1"/>
  <c r="L2407" i="28"/>
  <c r="M2407" i="28"/>
  <c r="N2407" i="28"/>
  <c r="O2407" i="28"/>
  <c r="P2407" i="28"/>
  <c r="Q2407" i="28"/>
  <c r="B2408" i="28"/>
  <c r="C2408" i="28"/>
  <c r="D2408" i="28"/>
  <c r="E2408" i="28"/>
  <c r="F2408" i="28"/>
  <c r="G2408" i="28"/>
  <c r="H2408" i="28"/>
  <c r="I2408" i="28"/>
  <c r="J2408" i="28"/>
  <c r="K2408" i="28"/>
  <c r="T14" i="18" s="1"/>
  <c r="L2408" i="28"/>
  <c r="M2408" i="28"/>
  <c r="N2408" i="28"/>
  <c r="O2408" i="28"/>
  <c r="P2408" i="28"/>
  <c r="Q2408" i="28"/>
  <c r="B2413" i="28"/>
  <c r="C2413" i="28"/>
  <c r="D2413" i="28"/>
  <c r="E2413" i="28"/>
  <c r="F2413" i="28"/>
  <c r="G2413" i="28"/>
  <c r="H2413" i="28"/>
  <c r="I2413" i="28"/>
  <c r="J2413" i="28"/>
  <c r="K2413" i="28"/>
  <c r="L2413" i="28"/>
  <c r="M2413" i="28"/>
  <c r="N2413" i="28"/>
  <c r="O2413" i="28"/>
  <c r="P2413" i="28"/>
  <c r="Q2413" i="28"/>
  <c r="B2414" i="28"/>
  <c r="C2414" i="28"/>
  <c r="D2414" i="28"/>
  <c r="E2414" i="28"/>
  <c r="F2414" i="28"/>
  <c r="G2414" i="28"/>
  <c r="H2414" i="28"/>
  <c r="I2414" i="28"/>
  <c r="J2414" i="28"/>
  <c r="K2414" i="28"/>
  <c r="T17" i="18" s="1"/>
  <c r="L2414" i="28"/>
  <c r="M2414" i="28"/>
  <c r="N2414" i="28"/>
  <c r="O2414" i="28"/>
  <c r="P2414" i="28"/>
  <c r="Q2414" i="28"/>
  <c r="B2419" i="28"/>
  <c r="C2419" i="28"/>
  <c r="D2419" i="28"/>
  <c r="E2419" i="28"/>
  <c r="F2419" i="28"/>
  <c r="G2419" i="28"/>
  <c r="H2419" i="28"/>
  <c r="I2419" i="28"/>
  <c r="J2419" i="28"/>
  <c r="K2419" i="28"/>
  <c r="L2419" i="28"/>
  <c r="M2419" i="28"/>
  <c r="N2419" i="28"/>
  <c r="O2419" i="28"/>
  <c r="P2419" i="28"/>
  <c r="Q2419" i="28"/>
  <c r="B2420" i="28"/>
  <c r="C2420" i="28"/>
  <c r="D2420" i="28"/>
  <c r="E2420" i="28"/>
  <c r="F2420" i="28"/>
  <c r="G2420" i="28"/>
  <c r="H2420" i="28"/>
  <c r="I2420" i="28"/>
  <c r="J2420" i="28"/>
  <c r="S20" i="18" s="1"/>
  <c r="K2420" i="28"/>
  <c r="T20" i="18" s="1"/>
  <c r="L2420" i="28"/>
  <c r="M2420" i="28"/>
  <c r="N2420" i="28"/>
  <c r="O2420" i="28"/>
  <c r="P2420" i="28"/>
  <c r="Q2420" i="28"/>
  <c r="B2425" i="28"/>
  <c r="C2425" i="28"/>
  <c r="D2425" i="28"/>
  <c r="E2425" i="28"/>
  <c r="F2425" i="28"/>
  <c r="G2425" i="28"/>
  <c r="H2425" i="28"/>
  <c r="I2425" i="28"/>
  <c r="J2425" i="28"/>
  <c r="K2425" i="28"/>
  <c r="L2425" i="28"/>
  <c r="M2425" i="28"/>
  <c r="N2425" i="28"/>
  <c r="O2425" i="28"/>
  <c r="P2425" i="28"/>
  <c r="Q2425" i="28"/>
  <c r="B2426" i="28"/>
  <c r="C2426" i="28"/>
  <c r="D2426" i="28"/>
  <c r="E2426" i="28"/>
  <c r="F2426" i="28"/>
  <c r="G2426" i="28"/>
  <c r="H2426" i="28"/>
  <c r="I2426" i="28"/>
  <c r="J2426" i="28"/>
  <c r="K2426" i="28"/>
  <c r="L2426" i="28"/>
  <c r="M2426" i="28"/>
  <c r="N2426" i="28"/>
  <c r="O2426" i="28"/>
  <c r="P2426" i="28"/>
  <c r="Q2426" i="28"/>
  <c r="B2431" i="28"/>
  <c r="C2431" i="28"/>
  <c r="D2431" i="28"/>
  <c r="E2431" i="28"/>
  <c r="F2431" i="28"/>
  <c r="G2431" i="28"/>
  <c r="H2431" i="28"/>
  <c r="I2431" i="28"/>
  <c r="J2431" i="28"/>
  <c r="K2431" i="28"/>
  <c r="T25" i="18" s="1"/>
  <c r="L2431" i="28"/>
  <c r="M2431" i="28"/>
  <c r="N2431" i="28"/>
  <c r="O2431" i="28"/>
  <c r="P2431" i="28"/>
  <c r="Q2431" i="28"/>
  <c r="B2432" i="28"/>
  <c r="C2432" i="28"/>
  <c r="D2432" i="28"/>
  <c r="E2432" i="28"/>
  <c r="F2432" i="28"/>
  <c r="G2432" i="28"/>
  <c r="H2432" i="28"/>
  <c r="I2432" i="28"/>
  <c r="J2432" i="28"/>
  <c r="S26" i="18" s="1"/>
  <c r="K2432" i="28"/>
  <c r="L2432" i="28"/>
  <c r="M2432" i="28"/>
  <c r="N2432" i="28"/>
  <c r="O2432" i="28"/>
  <c r="P2432" i="28"/>
  <c r="Q2432" i="28"/>
  <c r="B2437" i="28"/>
  <c r="C2437" i="28"/>
  <c r="D2437" i="28"/>
  <c r="E2437" i="28"/>
  <c r="F2437" i="28"/>
  <c r="G2437" i="28"/>
  <c r="H2437" i="28"/>
  <c r="I2437" i="28"/>
  <c r="J2437" i="28"/>
  <c r="S28" i="18" s="1"/>
  <c r="K2437" i="28"/>
  <c r="L2437" i="28"/>
  <c r="M2437" i="28"/>
  <c r="N2437" i="28"/>
  <c r="O2437" i="28"/>
  <c r="P2437" i="28"/>
  <c r="Q2437" i="28"/>
  <c r="B2438" i="28"/>
  <c r="C2438" i="28"/>
  <c r="D2438" i="28"/>
  <c r="E2438" i="28"/>
  <c r="F2438" i="28"/>
  <c r="G2438" i="28"/>
  <c r="H2438" i="28"/>
  <c r="I2438" i="28"/>
  <c r="J2438" i="28"/>
  <c r="S29" i="18" s="1"/>
  <c r="K2438" i="28"/>
  <c r="T29" i="18" s="1"/>
  <c r="L2438" i="28"/>
  <c r="M2438" i="28"/>
  <c r="N2438" i="28"/>
  <c r="O2438" i="28"/>
  <c r="P2438" i="28"/>
  <c r="Q2438" i="28"/>
  <c r="B2443" i="28"/>
  <c r="C2443" i="28"/>
  <c r="D2443" i="28"/>
  <c r="E2443" i="28"/>
  <c r="F2443" i="28"/>
  <c r="G2443" i="28"/>
  <c r="H2443" i="28"/>
  <c r="I2443" i="28"/>
  <c r="J2443" i="28"/>
  <c r="K2443" i="28"/>
  <c r="T31" i="18" s="1"/>
  <c r="L2443" i="28"/>
  <c r="M2443" i="28"/>
  <c r="N2443" i="28"/>
  <c r="O2443" i="28"/>
  <c r="P2443" i="28"/>
  <c r="Q2443" i="28"/>
  <c r="B2444" i="28"/>
  <c r="C2444" i="28"/>
  <c r="D2444" i="28"/>
  <c r="E2444" i="28"/>
  <c r="F2444" i="28"/>
  <c r="G2444" i="28"/>
  <c r="H2444" i="28"/>
  <c r="I2444" i="28"/>
  <c r="J2444" i="28"/>
  <c r="K2444" i="28"/>
  <c r="L2444" i="28"/>
  <c r="M2444" i="28"/>
  <c r="N2444" i="28"/>
  <c r="O2444" i="28"/>
  <c r="P2444" i="28"/>
  <c r="Q2444" i="28"/>
  <c r="B2449" i="28"/>
  <c r="K34" i="18" s="1"/>
  <c r="C2449" i="28"/>
  <c r="L34" i="18" s="1"/>
  <c r="D2449" i="28"/>
  <c r="M34" i="18" s="1"/>
  <c r="E2449" i="28"/>
  <c r="F2449" i="28"/>
  <c r="G2449" i="28"/>
  <c r="P34" i="18" s="1"/>
  <c r="H2449" i="28"/>
  <c r="Q34" i="18" s="1"/>
  <c r="I2449" i="28"/>
  <c r="R34" i="18" s="1"/>
  <c r="J2449" i="28"/>
  <c r="S34" i="18" s="1"/>
  <c r="K2449" i="28"/>
  <c r="T34" i="18" s="1"/>
  <c r="L2449" i="28"/>
  <c r="M2449" i="28"/>
  <c r="N2449" i="28"/>
  <c r="O2449" i="28"/>
  <c r="P2449" i="28"/>
  <c r="Q2449" i="28"/>
  <c r="B2450" i="28"/>
  <c r="K35" i="18" s="1"/>
  <c r="C2450" i="28"/>
  <c r="L35" i="18" s="1"/>
  <c r="D2450" i="28"/>
  <c r="M35" i="18" s="1"/>
  <c r="E2450" i="28"/>
  <c r="F2450" i="28"/>
  <c r="G2450" i="28"/>
  <c r="P35" i="18" s="1"/>
  <c r="H2450" i="28"/>
  <c r="Q35" i="18" s="1"/>
  <c r="I2450" i="28"/>
  <c r="J2450" i="28"/>
  <c r="S35" i="18" s="1"/>
  <c r="K2450" i="28"/>
  <c r="T35" i="18" s="1"/>
  <c r="L2450" i="28"/>
  <c r="M2450" i="28"/>
  <c r="N2450" i="28"/>
  <c r="O2450" i="28"/>
  <c r="P2450" i="28"/>
  <c r="Q2450" i="28"/>
  <c r="B2455" i="28"/>
  <c r="K37" i="18" s="1"/>
  <c r="C2455" i="28"/>
  <c r="L37" i="18" s="1"/>
  <c r="D2455" i="28"/>
  <c r="M37" i="18" s="1"/>
  <c r="E2455" i="28"/>
  <c r="N37" i="18" s="1"/>
  <c r="F2455" i="28"/>
  <c r="G2455" i="28"/>
  <c r="P37" i="18" s="1"/>
  <c r="H2455" i="28"/>
  <c r="Q37" i="18" s="1"/>
  <c r="I2455" i="28"/>
  <c r="J2455" i="28"/>
  <c r="S37" i="18" s="1"/>
  <c r="K2455" i="28"/>
  <c r="T37" i="18" s="1"/>
  <c r="L2455" i="28"/>
  <c r="M2455" i="28"/>
  <c r="N2455" i="28"/>
  <c r="O2455" i="28"/>
  <c r="P2455" i="28"/>
  <c r="Q2455" i="28"/>
  <c r="B2456" i="28"/>
  <c r="K38" i="18" s="1"/>
  <c r="C2456" i="28"/>
  <c r="L38" i="18" s="1"/>
  <c r="D2456" i="28"/>
  <c r="M38" i="18" s="1"/>
  <c r="E2456" i="28"/>
  <c r="F2456" i="28"/>
  <c r="G2456" i="28"/>
  <c r="P38" i="18" s="1"/>
  <c r="H2456" i="28"/>
  <c r="Q38" i="18" s="1"/>
  <c r="I2456" i="28"/>
  <c r="R38" i="18" s="1"/>
  <c r="J2456" i="28"/>
  <c r="S38" i="18" s="1"/>
  <c r="K2456" i="28"/>
  <c r="T38" i="18" s="1"/>
  <c r="L2456" i="28"/>
  <c r="M2456" i="28"/>
  <c r="N2456" i="28"/>
  <c r="O2456" i="28"/>
  <c r="P2456" i="28"/>
  <c r="Q2456" i="28"/>
  <c r="B2461" i="28"/>
  <c r="K40" i="18" s="1"/>
  <c r="C2461" i="28"/>
  <c r="L40" i="18" s="1"/>
  <c r="D2461" i="28"/>
  <c r="M40" i="18" s="1"/>
  <c r="E2461" i="28"/>
  <c r="F2461" i="28"/>
  <c r="G2461" i="28"/>
  <c r="H2461" i="28"/>
  <c r="Q40" i="18" s="1"/>
  <c r="I2461" i="28"/>
  <c r="R40" i="18" s="1"/>
  <c r="J2461" i="28"/>
  <c r="S40" i="18" s="1"/>
  <c r="K2461" i="28"/>
  <c r="T40" i="18" s="1"/>
  <c r="L2461" i="28"/>
  <c r="M2461" i="28"/>
  <c r="N2461" i="28"/>
  <c r="O2461" i="28"/>
  <c r="P2461" i="28"/>
  <c r="Q2461" i="28"/>
  <c r="B2462" i="28"/>
  <c r="K41" i="18" s="1"/>
  <c r="C2462" i="28"/>
  <c r="L41" i="18" s="1"/>
  <c r="D2462" i="28"/>
  <c r="M41" i="18" s="1"/>
  <c r="E2462" i="28"/>
  <c r="F2462" i="28"/>
  <c r="G2462" i="28"/>
  <c r="P41" i="18" s="1"/>
  <c r="H2462" i="28"/>
  <c r="Q41" i="18" s="1"/>
  <c r="I2462" i="28"/>
  <c r="R41" i="18" s="1"/>
  <c r="J2462" i="28"/>
  <c r="S41" i="18" s="1"/>
  <c r="K2462" i="28"/>
  <c r="T41" i="18" s="1"/>
  <c r="L2462" i="28"/>
  <c r="M2462" i="28"/>
  <c r="N2462" i="28"/>
  <c r="O2462" i="28"/>
  <c r="P2462" i="28"/>
  <c r="Q2462" i="28"/>
  <c r="B2467" i="28"/>
  <c r="C2467" i="28"/>
  <c r="D2467" i="28"/>
  <c r="E2467" i="28"/>
  <c r="F2467" i="28"/>
  <c r="G2467" i="28"/>
  <c r="H2467" i="28"/>
  <c r="I2467" i="28"/>
  <c r="J2467" i="28"/>
  <c r="K2467" i="28"/>
  <c r="L2467" i="28"/>
  <c r="M2467" i="28"/>
  <c r="N2467" i="28"/>
  <c r="O2467" i="28"/>
  <c r="P2467" i="28"/>
  <c r="Q2467" i="28"/>
  <c r="B2468" i="28"/>
  <c r="C2468" i="28"/>
  <c r="D2468" i="28"/>
  <c r="E2468" i="28"/>
  <c r="F2468" i="28"/>
  <c r="G2468" i="28"/>
  <c r="H2468" i="28"/>
  <c r="I2468" i="28"/>
  <c r="J2468" i="28"/>
  <c r="K2468" i="28"/>
  <c r="L2468" i="28"/>
  <c r="M2468" i="28"/>
  <c r="N2468" i="28"/>
  <c r="O2468" i="28"/>
  <c r="P2468" i="28"/>
  <c r="Q2468" i="28"/>
  <c r="B2473" i="28"/>
  <c r="C2473" i="28"/>
  <c r="D2473" i="28"/>
  <c r="E2473" i="28"/>
  <c r="F2473" i="28"/>
  <c r="G2473" i="28"/>
  <c r="H2473" i="28"/>
  <c r="I2473" i="28"/>
  <c r="J2473" i="28"/>
  <c r="K2473" i="28"/>
  <c r="L2473" i="28"/>
  <c r="M2473" i="28"/>
  <c r="N2473" i="28"/>
  <c r="O2473" i="28"/>
  <c r="P2473" i="28"/>
  <c r="Q2473" i="28"/>
  <c r="B2474" i="28"/>
  <c r="C2474" i="28"/>
  <c r="D2474" i="28"/>
  <c r="E2474" i="28"/>
  <c r="F2474" i="28"/>
  <c r="G2474" i="28"/>
  <c r="H2474" i="28"/>
  <c r="I2474" i="28"/>
  <c r="J2474" i="28"/>
  <c r="K2474" i="28"/>
  <c r="L2474" i="28"/>
  <c r="M2474" i="28"/>
  <c r="N2474" i="28"/>
  <c r="O2474" i="28"/>
  <c r="P2474" i="28"/>
  <c r="Q2474" i="28"/>
  <c r="B2479" i="28"/>
  <c r="C2479" i="28"/>
  <c r="D2479" i="28"/>
  <c r="E2479" i="28"/>
  <c r="F2479" i="28"/>
  <c r="G2479" i="28"/>
  <c r="H2479" i="28"/>
  <c r="I2479" i="28"/>
  <c r="J2479" i="28"/>
  <c r="K2479" i="28"/>
  <c r="L2479" i="28"/>
  <c r="M2479" i="28"/>
  <c r="N2479" i="28"/>
  <c r="O2479" i="28"/>
  <c r="P2479" i="28"/>
  <c r="Q2479" i="28"/>
  <c r="B2480" i="28"/>
  <c r="C2480" i="28"/>
  <c r="D2480" i="28"/>
  <c r="E2480" i="28"/>
  <c r="F2480" i="28"/>
  <c r="G2480" i="28"/>
  <c r="H2480" i="28"/>
  <c r="I2480" i="28"/>
  <c r="J2480" i="28"/>
  <c r="K2480" i="28"/>
  <c r="L2480" i="28"/>
  <c r="M2480" i="28"/>
  <c r="N2480" i="28"/>
  <c r="O2480" i="28"/>
  <c r="P2480" i="28"/>
  <c r="Q2480" i="28"/>
  <c r="B2485" i="28"/>
  <c r="C2485" i="28"/>
  <c r="D2485" i="28"/>
  <c r="E2485" i="28"/>
  <c r="F2485" i="28"/>
  <c r="G2485" i="28"/>
  <c r="H2485" i="28"/>
  <c r="I2485" i="28"/>
  <c r="J2485" i="28"/>
  <c r="K2485" i="28"/>
  <c r="L2485" i="28"/>
  <c r="M2485" i="28"/>
  <c r="N2485" i="28"/>
  <c r="O2485" i="28"/>
  <c r="P2485" i="28"/>
  <c r="Q2485" i="28"/>
  <c r="B2486" i="28"/>
  <c r="C2486" i="28"/>
  <c r="D2486" i="28"/>
  <c r="E2486" i="28"/>
  <c r="F2486" i="28"/>
  <c r="G2486" i="28"/>
  <c r="H2486" i="28"/>
  <c r="I2486" i="28"/>
  <c r="J2486" i="28"/>
  <c r="K2486" i="28"/>
  <c r="L2486" i="28"/>
  <c r="M2486" i="28"/>
  <c r="N2486" i="28"/>
  <c r="O2486" i="28"/>
  <c r="P2486" i="28"/>
  <c r="Q2486" i="28"/>
  <c r="B2491" i="28"/>
  <c r="C2491" i="28"/>
  <c r="D2491" i="28"/>
  <c r="E2491" i="28"/>
  <c r="F2491" i="28"/>
  <c r="G2491" i="28"/>
  <c r="H2491" i="28"/>
  <c r="I2491" i="28"/>
  <c r="J2491" i="28"/>
  <c r="K2491" i="28"/>
  <c r="L2491" i="28"/>
  <c r="M2491" i="28"/>
  <c r="N2491" i="28"/>
  <c r="O2491" i="28"/>
  <c r="P2491" i="28"/>
  <c r="Q2491" i="28"/>
  <c r="B2492" i="28"/>
  <c r="C2492" i="28"/>
  <c r="D2492" i="28"/>
  <c r="E2492" i="28"/>
  <c r="F2492" i="28"/>
  <c r="G2492" i="28"/>
  <c r="H2492" i="28"/>
  <c r="I2492" i="28"/>
  <c r="J2492" i="28"/>
  <c r="K2492" i="28"/>
  <c r="L2492" i="28"/>
  <c r="M2492" i="28"/>
  <c r="N2492" i="28"/>
  <c r="O2492" i="28"/>
  <c r="P2492" i="28"/>
  <c r="Q2492" i="28"/>
  <c r="B2497" i="28"/>
  <c r="C2497" i="28"/>
  <c r="D2497" i="28"/>
  <c r="E2497" i="28"/>
  <c r="F2497" i="28"/>
  <c r="G2497" i="28"/>
  <c r="H2497" i="28"/>
  <c r="I2497" i="28"/>
  <c r="J2497" i="28"/>
  <c r="K2497" i="28"/>
  <c r="L2497" i="28"/>
  <c r="M2497" i="28"/>
  <c r="N2497" i="28"/>
  <c r="O2497" i="28"/>
  <c r="P2497" i="28"/>
  <c r="Q2497" i="28"/>
  <c r="B2498" i="28"/>
  <c r="C2498" i="28"/>
  <c r="D2498" i="28"/>
  <c r="E2498" i="28"/>
  <c r="F2498" i="28"/>
  <c r="G2498" i="28"/>
  <c r="H2498" i="28"/>
  <c r="I2498" i="28"/>
  <c r="J2498" i="28"/>
  <c r="K2498" i="28"/>
  <c r="L2498" i="28"/>
  <c r="M2498" i="28"/>
  <c r="N2498" i="28"/>
  <c r="O2498" i="28"/>
  <c r="P2498" i="28"/>
  <c r="Q2498" i="28"/>
  <c r="B2503" i="28"/>
  <c r="C2503" i="28"/>
  <c r="L4" i="31" s="1"/>
  <c r="D2503" i="28"/>
  <c r="M4" i="31" s="1"/>
  <c r="E2503" i="28"/>
  <c r="F2503" i="28"/>
  <c r="G2503" i="28"/>
  <c r="P4" i="31" s="1"/>
  <c r="H2503" i="28"/>
  <c r="I2503" i="28"/>
  <c r="R4" i="31" s="1"/>
  <c r="J2503" i="28"/>
  <c r="S4" i="31" s="1"/>
  <c r="K2503" i="28"/>
  <c r="T4" i="31" s="1"/>
  <c r="L2503" i="28"/>
  <c r="M2503" i="28"/>
  <c r="N2503" i="28"/>
  <c r="O2503" i="28"/>
  <c r="P2503" i="28"/>
  <c r="Q2503" i="28"/>
  <c r="B2504" i="28"/>
  <c r="C2504" i="28"/>
  <c r="D2504" i="28"/>
  <c r="M5" i="31" s="1"/>
  <c r="E2504" i="28"/>
  <c r="F2504" i="28"/>
  <c r="G2504" i="28"/>
  <c r="P5" i="31" s="1"/>
  <c r="H2504" i="28"/>
  <c r="I2504" i="28"/>
  <c r="J2504" i="28"/>
  <c r="K2504" i="28"/>
  <c r="T5" i="31" s="1"/>
  <c r="L2504" i="28"/>
  <c r="M2504" i="28"/>
  <c r="N2504" i="28"/>
  <c r="O2504" i="28"/>
  <c r="P2504" i="28"/>
  <c r="Q2504" i="28"/>
  <c r="B2509" i="28"/>
  <c r="K7" i="31" s="1"/>
  <c r="C2509" i="28"/>
  <c r="L7" i="31" s="1"/>
  <c r="D2509" i="28"/>
  <c r="M7" i="31" s="1"/>
  <c r="E2509" i="28"/>
  <c r="F2509" i="28"/>
  <c r="G2509" i="28"/>
  <c r="P7" i="31" s="1"/>
  <c r="H2509" i="28"/>
  <c r="Q7" i="31" s="1"/>
  <c r="I2509" i="28"/>
  <c r="J2509" i="28"/>
  <c r="K2509" i="28"/>
  <c r="T7" i="31" s="1"/>
  <c r="L2509" i="28"/>
  <c r="M2509" i="28"/>
  <c r="N2509" i="28"/>
  <c r="O2509" i="28"/>
  <c r="P2509" i="28"/>
  <c r="Q2509" i="28"/>
  <c r="B2510" i="28"/>
  <c r="C2510" i="28"/>
  <c r="L8" i="31" s="1"/>
  <c r="D2510" i="28"/>
  <c r="M8" i="31" s="1"/>
  <c r="E2510" i="28"/>
  <c r="F2510" i="28"/>
  <c r="G2510" i="28"/>
  <c r="P8" i="31" s="1"/>
  <c r="H2510" i="28"/>
  <c r="Q8" i="31" s="1"/>
  <c r="I2510" i="28"/>
  <c r="J2510" i="28"/>
  <c r="S8" i="31" s="1"/>
  <c r="K2510" i="28"/>
  <c r="L2510" i="28"/>
  <c r="M2510" i="28"/>
  <c r="N2510" i="28"/>
  <c r="O2510" i="28"/>
  <c r="P2510" i="28"/>
  <c r="Q2510" i="28"/>
  <c r="B2515" i="28"/>
  <c r="K10" i="31" s="1"/>
  <c r="C2515" i="28"/>
  <c r="L10" i="31" s="1"/>
  <c r="D2515" i="28"/>
  <c r="E2515" i="28"/>
  <c r="N10" i="31" s="1"/>
  <c r="F2515" i="28"/>
  <c r="G2515" i="28"/>
  <c r="P10" i="31" s="1"/>
  <c r="H2515" i="28"/>
  <c r="I2515" i="28"/>
  <c r="R10" i="31" s="1"/>
  <c r="J2515" i="28"/>
  <c r="K2515" i="28"/>
  <c r="T10" i="31" s="1"/>
  <c r="L2515" i="28"/>
  <c r="M2515" i="28"/>
  <c r="N2515" i="28"/>
  <c r="O2515" i="28"/>
  <c r="P2515" i="28"/>
  <c r="Q2515" i="28"/>
  <c r="B2516" i="28"/>
  <c r="K11" i="31" s="1"/>
  <c r="C2516" i="28"/>
  <c r="L11" i="31" s="1"/>
  <c r="D2516" i="28"/>
  <c r="M11" i="31" s="1"/>
  <c r="E2516" i="28"/>
  <c r="F2516" i="28"/>
  <c r="G2516" i="28"/>
  <c r="P11" i="31" s="1"/>
  <c r="H2516" i="28"/>
  <c r="Q11" i="31" s="1"/>
  <c r="I2516" i="28"/>
  <c r="R11" i="31" s="1"/>
  <c r="J2516" i="28"/>
  <c r="S11" i="31" s="1"/>
  <c r="K2516" i="28"/>
  <c r="T11" i="31" s="1"/>
  <c r="L2516" i="28"/>
  <c r="M2516" i="28"/>
  <c r="N2516" i="28"/>
  <c r="O2516" i="28"/>
  <c r="P2516" i="28"/>
  <c r="Q2516" i="28"/>
  <c r="B2521" i="28"/>
  <c r="C2521" i="28"/>
  <c r="D2521" i="28"/>
  <c r="M13" i="31" s="1"/>
  <c r="E2521" i="28"/>
  <c r="N13" i="31" s="1"/>
  <c r="F2521" i="28"/>
  <c r="G2521" i="28"/>
  <c r="P13" i="31" s="1"/>
  <c r="H2521" i="28"/>
  <c r="I2521" i="28"/>
  <c r="J2521" i="28"/>
  <c r="S13" i="31" s="1"/>
  <c r="K2521" i="28"/>
  <c r="L2521" i="28"/>
  <c r="M2521" i="28"/>
  <c r="N2521" i="28"/>
  <c r="O2521" i="28"/>
  <c r="P2521" i="28"/>
  <c r="Q2521" i="28"/>
  <c r="B2522" i="28"/>
  <c r="K14" i="31" s="1"/>
  <c r="C2522" i="28"/>
  <c r="L14" i="31" s="1"/>
  <c r="D2522" i="28"/>
  <c r="M14" i="31" s="1"/>
  <c r="E2522" i="28"/>
  <c r="F2522" i="28"/>
  <c r="G2522" i="28"/>
  <c r="P14" i="31" s="1"/>
  <c r="H2522" i="28"/>
  <c r="I2522" i="28"/>
  <c r="J2522" i="28"/>
  <c r="K2522" i="28"/>
  <c r="T14" i="31" s="1"/>
  <c r="L2522" i="28"/>
  <c r="M2522" i="28"/>
  <c r="N2522" i="28"/>
  <c r="O2522" i="28"/>
  <c r="P2522" i="28"/>
  <c r="Q2522" i="28"/>
  <c r="B2527" i="28"/>
  <c r="C2527" i="28"/>
  <c r="L16" i="31" s="1"/>
  <c r="D2527" i="28"/>
  <c r="M16" i="31" s="1"/>
  <c r="E2527" i="28"/>
  <c r="F2527" i="28"/>
  <c r="G2527" i="28"/>
  <c r="P16" i="31" s="1"/>
  <c r="H2527" i="28"/>
  <c r="I2527" i="28"/>
  <c r="R16" i="31" s="1"/>
  <c r="J2527" i="28"/>
  <c r="K2527" i="28"/>
  <c r="T16" i="31" s="1"/>
  <c r="L2527" i="28"/>
  <c r="M2527" i="28"/>
  <c r="N2527" i="28"/>
  <c r="O2527" i="28"/>
  <c r="P2527" i="28"/>
  <c r="Q2527" i="28"/>
  <c r="B2528" i="28"/>
  <c r="C2528" i="28"/>
  <c r="D2528" i="28"/>
  <c r="M17" i="31" s="1"/>
  <c r="E2528" i="28"/>
  <c r="F2528" i="28"/>
  <c r="G2528" i="28"/>
  <c r="P17" i="31" s="1"/>
  <c r="H2528" i="28"/>
  <c r="Q17" i="31" s="1"/>
  <c r="I2528" i="28"/>
  <c r="R17" i="31" s="1"/>
  <c r="J2528" i="28"/>
  <c r="K2528" i="28"/>
  <c r="T17" i="31" s="1"/>
  <c r="L2528" i="28"/>
  <c r="M2528" i="28"/>
  <c r="N2528" i="28"/>
  <c r="O2528" i="28"/>
  <c r="P2528" i="28"/>
  <c r="Q2528" i="28"/>
  <c r="B2533" i="28"/>
  <c r="C2533" i="28"/>
  <c r="L19" i="31" s="1"/>
  <c r="D2533" i="28"/>
  <c r="E2533" i="28"/>
  <c r="N19" i="31" s="1"/>
  <c r="F2533" i="28"/>
  <c r="G2533" i="28"/>
  <c r="P19" i="31" s="1"/>
  <c r="H2533" i="28"/>
  <c r="Q19" i="31" s="1"/>
  <c r="I2533" i="28"/>
  <c r="R19" i="31" s="1"/>
  <c r="J2533" i="28"/>
  <c r="S19" i="31" s="1"/>
  <c r="K2533" i="28"/>
  <c r="T19" i="31" s="1"/>
  <c r="L2533" i="28"/>
  <c r="M2533" i="28"/>
  <c r="N2533" i="28"/>
  <c r="O2533" i="28"/>
  <c r="P2533" i="28"/>
  <c r="Q2533" i="28"/>
  <c r="B2534" i="28"/>
  <c r="C2534" i="28"/>
  <c r="D2534" i="28"/>
  <c r="M20" i="31" s="1"/>
  <c r="E2534" i="28"/>
  <c r="N20" i="31" s="1"/>
  <c r="F2534" i="28"/>
  <c r="G2534" i="28"/>
  <c r="P20" i="31" s="1"/>
  <c r="H2534" i="28"/>
  <c r="Q20" i="31" s="1"/>
  <c r="I2534" i="28"/>
  <c r="J2534" i="28"/>
  <c r="S20" i="31" s="1"/>
  <c r="K2534" i="28"/>
  <c r="L2534" i="28"/>
  <c r="M2534" i="28"/>
  <c r="N2534" i="28"/>
  <c r="O2534" i="28"/>
  <c r="P2534" i="28"/>
  <c r="Q2534" i="28"/>
  <c r="B2539" i="28"/>
  <c r="C2539" i="28"/>
  <c r="L22" i="31" s="1"/>
  <c r="D2539" i="28"/>
  <c r="M22" i="31" s="1"/>
  <c r="E2539" i="28"/>
  <c r="F2539" i="28"/>
  <c r="G2539" i="28"/>
  <c r="H2539" i="28"/>
  <c r="Q22" i="31" s="1"/>
  <c r="I2539" i="28"/>
  <c r="J2539" i="28"/>
  <c r="K2539" i="28"/>
  <c r="L2539" i="28"/>
  <c r="M2539" i="28"/>
  <c r="N2539" i="28"/>
  <c r="O2539" i="28"/>
  <c r="P2539" i="28"/>
  <c r="Q2539" i="28"/>
  <c r="B2540" i="28"/>
  <c r="C2540" i="28"/>
  <c r="D2540" i="28"/>
  <c r="M23" i="31" s="1"/>
  <c r="E2540" i="28"/>
  <c r="F2540" i="28"/>
  <c r="G2540" i="28"/>
  <c r="P23" i="31" s="1"/>
  <c r="H2540" i="28"/>
  <c r="I2540" i="28"/>
  <c r="R23" i="31" s="1"/>
  <c r="J2540" i="28"/>
  <c r="S23" i="31" s="1"/>
  <c r="K2540" i="28"/>
  <c r="T23" i="31" s="1"/>
  <c r="L2540" i="28"/>
  <c r="M2540" i="28"/>
  <c r="N2540" i="28"/>
  <c r="O2540" i="28"/>
  <c r="P2540" i="28"/>
  <c r="Q2540" i="28"/>
  <c r="B2545" i="28"/>
  <c r="C2545" i="28"/>
  <c r="L25" i="31" s="1"/>
  <c r="D2545" i="28"/>
  <c r="M25" i="31" s="1"/>
  <c r="E2545" i="28"/>
  <c r="F2545" i="28"/>
  <c r="G2545" i="28"/>
  <c r="H2545" i="28"/>
  <c r="I2545" i="28"/>
  <c r="R25" i="31" s="1"/>
  <c r="J2545" i="28"/>
  <c r="S25" i="31" s="1"/>
  <c r="K2545" i="28"/>
  <c r="T25" i="31" s="1"/>
  <c r="L2545" i="28"/>
  <c r="M2545" i="28"/>
  <c r="N2545" i="28"/>
  <c r="O2545" i="28"/>
  <c r="P2545" i="28"/>
  <c r="Q2545" i="28"/>
  <c r="B2546" i="28"/>
  <c r="K26" i="31" s="1"/>
  <c r="C2546" i="28"/>
  <c r="D2546" i="28"/>
  <c r="E2546" i="28"/>
  <c r="F2546" i="28"/>
  <c r="G2546" i="28"/>
  <c r="H2546" i="28"/>
  <c r="I2546" i="28"/>
  <c r="J2546" i="28"/>
  <c r="S26" i="31" s="1"/>
  <c r="K2546" i="28"/>
  <c r="L2546" i="28"/>
  <c r="M2546" i="28"/>
  <c r="N2546" i="28"/>
  <c r="O2546" i="28"/>
  <c r="P2546" i="28"/>
  <c r="Q2546" i="28"/>
  <c r="B2551" i="28"/>
  <c r="C2551" i="28"/>
  <c r="L28" i="31" s="1"/>
  <c r="D2551" i="28"/>
  <c r="M28" i="31" s="1"/>
  <c r="E2551" i="28"/>
  <c r="F2551" i="28"/>
  <c r="G2551" i="28"/>
  <c r="P28" i="31" s="1"/>
  <c r="H2551" i="28"/>
  <c r="I2551" i="28"/>
  <c r="J2551" i="28"/>
  <c r="K2551" i="28"/>
  <c r="T28" i="31" s="1"/>
  <c r="L2551" i="28"/>
  <c r="M2551" i="28"/>
  <c r="N2551" i="28"/>
  <c r="O2551" i="28"/>
  <c r="P2551" i="28"/>
  <c r="Q2551" i="28"/>
  <c r="B2552" i="28"/>
  <c r="C2552" i="28"/>
  <c r="D2552" i="28"/>
  <c r="M29" i="31" s="1"/>
  <c r="E2552" i="28"/>
  <c r="F2552" i="28"/>
  <c r="G2552" i="28"/>
  <c r="P29" i="31" s="1"/>
  <c r="H2552" i="28"/>
  <c r="Q29" i="31" s="1"/>
  <c r="I2552" i="28"/>
  <c r="J2552" i="28"/>
  <c r="K2552" i="28"/>
  <c r="L2552" i="28"/>
  <c r="M2552" i="28"/>
  <c r="N2552" i="28"/>
  <c r="O2552" i="28"/>
  <c r="P2552" i="28"/>
  <c r="Q2552" i="28"/>
  <c r="B2557" i="28"/>
  <c r="K31" i="31" s="1"/>
  <c r="C2557" i="28"/>
  <c r="L31" i="31" s="1"/>
  <c r="D2557" i="28"/>
  <c r="M31" i="31" s="1"/>
  <c r="E2557" i="28"/>
  <c r="N31" i="31" s="1"/>
  <c r="F2557" i="28"/>
  <c r="G2557" i="28"/>
  <c r="P31" i="31" s="1"/>
  <c r="H2557" i="28"/>
  <c r="Q31" i="31" s="1"/>
  <c r="I2557" i="28"/>
  <c r="J2557" i="28"/>
  <c r="S31" i="31" s="1"/>
  <c r="K2557" i="28"/>
  <c r="T31" i="31" s="1"/>
  <c r="L2557" i="28"/>
  <c r="M2557" i="28"/>
  <c r="N2557" i="28"/>
  <c r="O2557" i="28"/>
  <c r="P2557" i="28"/>
  <c r="Q2557" i="28"/>
  <c r="B2558" i="28"/>
  <c r="C2558" i="28"/>
  <c r="D2558" i="28"/>
  <c r="M32" i="31" s="1"/>
  <c r="E2558" i="28"/>
  <c r="F2558" i="28"/>
  <c r="G2558" i="28"/>
  <c r="P32" i="31" s="1"/>
  <c r="H2558" i="28"/>
  <c r="Q32" i="31" s="1"/>
  <c r="I2558" i="28"/>
  <c r="J2558" i="28"/>
  <c r="K2558" i="28"/>
  <c r="T32" i="31" s="1"/>
  <c r="L2558" i="28"/>
  <c r="M2558" i="28"/>
  <c r="N2558" i="28"/>
  <c r="O2558" i="28"/>
  <c r="P2558" i="28"/>
  <c r="Q2558" i="28"/>
  <c r="B2563" i="28"/>
  <c r="C2563" i="28"/>
  <c r="D2563" i="28"/>
  <c r="M34" i="31" s="1"/>
  <c r="E2563" i="28"/>
  <c r="F2563" i="28"/>
  <c r="G2563" i="28"/>
  <c r="H2563" i="28"/>
  <c r="Q34" i="31" s="1"/>
  <c r="I2563" i="28"/>
  <c r="R34" i="31" s="1"/>
  <c r="J2563" i="28"/>
  <c r="S34" i="31" s="1"/>
  <c r="K2563" i="28"/>
  <c r="L2563" i="28"/>
  <c r="M2563" i="28"/>
  <c r="N2563" i="28"/>
  <c r="O2563" i="28"/>
  <c r="P2563" i="28"/>
  <c r="Q2563" i="28"/>
  <c r="B2564" i="28"/>
  <c r="C2564" i="28"/>
  <c r="L35" i="31" s="1"/>
  <c r="D2564" i="28"/>
  <c r="M35" i="31" s="1"/>
  <c r="E2564" i="28"/>
  <c r="N35" i="31" s="1"/>
  <c r="F2564" i="28"/>
  <c r="G2564" i="28"/>
  <c r="P35" i="31" s="1"/>
  <c r="H2564" i="28"/>
  <c r="Q35" i="31" s="1"/>
  <c r="I2564" i="28"/>
  <c r="R35" i="31" s="1"/>
  <c r="J2564" i="28"/>
  <c r="K2564" i="28"/>
  <c r="L2564" i="28"/>
  <c r="M2564" i="28"/>
  <c r="N2564" i="28"/>
  <c r="O2564" i="28"/>
  <c r="P2564" i="28"/>
  <c r="Q2564" i="28"/>
  <c r="B2569" i="28"/>
  <c r="C2569" i="28"/>
  <c r="D2569" i="28"/>
  <c r="M37" i="31" s="1"/>
  <c r="E2569" i="28"/>
  <c r="F2569" i="28"/>
  <c r="G2569" i="28"/>
  <c r="H2569" i="28"/>
  <c r="Q37" i="31" s="1"/>
  <c r="I2569" i="28"/>
  <c r="R37" i="31" s="1"/>
  <c r="J2569" i="28"/>
  <c r="S37" i="31" s="1"/>
  <c r="K2569" i="28"/>
  <c r="T37" i="31" s="1"/>
  <c r="L2569" i="28"/>
  <c r="M2569" i="28"/>
  <c r="N2569" i="28"/>
  <c r="O2569" i="28"/>
  <c r="P2569" i="28"/>
  <c r="Q2569" i="28"/>
  <c r="B2570" i="28"/>
  <c r="C2570" i="28"/>
  <c r="L38" i="31" s="1"/>
  <c r="D2570" i="28"/>
  <c r="M38" i="31" s="1"/>
  <c r="E2570" i="28"/>
  <c r="F2570" i="28"/>
  <c r="G2570" i="28"/>
  <c r="P38" i="31" s="1"/>
  <c r="H2570" i="28"/>
  <c r="Q38" i="31" s="1"/>
  <c r="I2570" i="28"/>
  <c r="J2570" i="28"/>
  <c r="K2570" i="28"/>
  <c r="T38" i="31" s="1"/>
  <c r="L2570" i="28"/>
  <c r="M2570" i="28"/>
  <c r="N2570" i="28"/>
  <c r="O2570" i="28"/>
  <c r="P2570" i="28"/>
  <c r="Q2570" i="28"/>
  <c r="B2575" i="28"/>
  <c r="C2575" i="28"/>
  <c r="D2575" i="28"/>
  <c r="M40" i="31" s="1"/>
  <c r="E2575" i="28"/>
  <c r="F2575" i="28"/>
  <c r="G2575" i="28"/>
  <c r="P40" i="31" s="1"/>
  <c r="H2575" i="28"/>
  <c r="Q40" i="31" s="1"/>
  <c r="I2575" i="28"/>
  <c r="R40" i="31" s="1"/>
  <c r="J2575" i="28"/>
  <c r="K2575" i="28"/>
  <c r="L2575" i="28"/>
  <c r="M2575" i="28"/>
  <c r="N2575" i="28"/>
  <c r="O2575" i="28"/>
  <c r="P2575" i="28"/>
  <c r="Q2575" i="28"/>
  <c r="B2576" i="28"/>
  <c r="C2576" i="28"/>
  <c r="L41" i="31" s="1"/>
  <c r="D2576" i="28"/>
  <c r="M41" i="31" s="1"/>
  <c r="E2576" i="28"/>
  <c r="F2576" i="28"/>
  <c r="G2576" i="28"/>
  <c r="P41" i="31" s="1"/>
  <c r="H2576" i="28"/>
  <c r="I2576" i="28"/>
  <c r="J2576" i="28"/>
  <c r="S41" i="31" s="1"/>
  <c r="K2576" i="28"/>
  <c r="T41" i="31" s="1"/>
  <c r="L2576" i="28"/>
  <c r="M2576" i="28"/>
  <c r="N2576" i="28"/>
  <c r="O2576" i="28"/>
  <c r="P2576" i="28"/>
  <c r="Q2576" i="28"/>
  <c r="B2582" i="28"/>
  <c r="C2582" i="28"/>
  <c r="D2582" i="28"/>
  <c r="E2582" i="28"/>
  <c r="F2582" i="28"/>
  <c r="G2582" i="28"/>
  <c r="H2582" i="28"/>
  <c r="I2582" i="28"/>
  <c r="J2582" i="28"/>
  <c r="K2582" i="28"/>
  <c r="L2582" i="28"/>
  <c r="M2582" i="28"/>
  <c r="N2582" i="28"/>
  <c r="O2582" i="28"/>
  <c r="P2582" i="28"/>
  <c r="Q2582" i="28"/>
  <c r="R2582" i="28"/>
  <c r="S2582" i="28"/>
  <c r="T2582" i="28"/>
  <c r="U2582" i="28"/>
  <c r="V2582" i="28"/>
  <c r="W2582" i="28"/>
  <c r="X2582" i="28"/>
  <c r="Y2582" i="28"/>
  <c r="Z2582" i="28"/>
  <c r="AA2582" i="28"/>
  <c r="AB2582" i="28"/>
  <c r="AC2582" i="28"/>
  <c r="AD2582" i="28"/>
  <c r="AE2582" i="28"/>
  <c r="AF2582" i="28"/>
  <c r="AG2582" i="28"/>
  <c r="B2583" i="28"/>
  <c r="C2583" i="28"/>
  <c r="D2583" i="28"/>
  <c r="E2583" i="28"/>
  <c r="F2583" i="28"/>
  <c r="G2583" i="28"/>
  <c r="H2583" i="28"/>
  <c r="I2583" i="28"/>
  <c r="J2583" i="28"/>
  <c r="K2583" i="28"/>
  <c r="L2583" i="28"/>
  <c r="M2583" i="28"/>
  <c r="N2583" i="28"/>
  <c r="O2583" i="28"/>
  <c r="P2583" i="28"/>
  <c r="Q2583" i="28"/>
  <c r="R2583" i="28"/>
  <c r="S2583" i="28"/>
  <c r="T2583" i="28"/>
  <c r="U2583" i="28"/>
  <c r="V2583" i="28"/>
  <c r="W2583" i="28"/>
  <c r="X2583" i="28"/>
  <c r="Y2583" i="28"/>
  <c r="Z2583" i="28"/>
  <c r="AA2583" i="28"/>
  <c r="AB2583" i="28"/>
  <c r="AC2583" i="28"/>
  <c r="AD2583" i="28"/>
  <c r="AE2583" i="28"/>
  <c r="AF2583" i="28"/>
  <c r="AG2583" i="28"/>
  <c r="B2584" i="28"/>
  <c r="C2584" i="28"/>
  <c r="D2584" i="28"/>
  <c r="E2584" i="28"/>
  <c r="F2584" i="28"/>
  <c r="G2584" i="28"/>
  <c r="H2584" i="28"/>
  <c r="I2584" i="28"/>
  <c r="J2584" i="28"/>
  <c r="K2584" i="28"/>
  <c r="L2584" i="28"/>
  <c r="M2584" i="28"/>
  <c r="N2584" i="28"/>
  <c r="O2584" i="28"/>
  <c r="P2584" i="28"/>
  <c r="Q2584" i="28"/>
  <c r="R2584" i="28"/>
  <c r="S2584" i="28"/>
  <c r="T2584" i="28"/>
  <c r="U2584" i="28"/>
  <c r="V2584" i="28"/>
  <c r="W2584" i="28"/>
  <c r="X2584" i="28"/>
  <c r="Y2584" i="28"/>
  <c r="Z2584" i="28"/>
  <c r="AA2584" i="28"/>
  <c r="AB2584" i="28"/>
  <c r="AC2584" i="28"/>
  <c r="AD2584" i="28"/>
  <c r="AE2584" i="28"/>
  <c r="AF2584" i="28"/>
  <c r="AG2584" i="28"/>
  <c r="B2603" i="28"/>
  <c r="C2603" i="28"/>
  <c r="D2603" i="28"/>
  <c r="E2603" i="28"/>
  <c r="F2603" i="28"/>
  <c r="G2603" i="28"/>
  <c r="H2603" i="28"/>
  <c r="I2603" i="28"/>
  <c r="J2603" i="28"/>
  <c r="K2603" i="28"/>
  <c r="L2603" i="28"/>
  <c r="M2603" i="28"/>
  <c r="N2603" i="28"/>
  <c r="O2603" i="28"/>
  <c r="P2603" i="28"/>
  <c r="Q2603" i="28"/>
  <c r="R2603" i="28"/>
  <c r="S2603" i="28"/>
  <c r="T2603" i="28"/>
  <c r="U2603" i="28"/>
  <c r="V2603" i="28"/>
  <c r="W2603" i="28"/>
  <c r="X2603" i="28"/>
  <c r="Y2603" i="28"/>
  <c r="Z2603" i="28"/>
  <c r="AA2603" i="28"/>
  <c r="AB2603" i="28"/>
  <c r="AC2603" i="28"/>
  <c r="AD2603" i="28"/>
  <c r="AE2603" i="28"/>
  <c r="AF2603" i="28"/>
  <c r="AG2603" i="28"/>
  <c r="B2604" i="28"/>
  <c r="C2604" i="28"/>
  <c r="D2604" i="28"/>
  <c r="E2604" i="28"/>
  <c r="F2604" i="28"/>
  <c r="G2604" i="28"/>
  <c r="H2604" i="28"/>
  <c r="I2604" i="28"/>
  <c r="J2604" i="28"/>
  <c r="K2604" i="28"/>
  <c r="L2604" i="28"/>
  <c r="M2604" i="28"/>
  <c r="N2604" i="28"/>
  <c r="O2604" i="28"/>
  <c r="P2604" i="28"/>
  <c r="Q2604" i="28"/>
  <c r="R2604" i="28"/>
  <c r="S2604" i="28"/>
  <c r="T2604" i="28"/>
  <c r="U2604" i="28"/>
  <c r="V2604" i="28"/>
  <c r="W2604" i="28"/>
  <c r="X2604" i="28"/>
  <c r="Y2604" i="28"/>
  <c r="Z2604" i="28"/>
  <c r="AA2604" i="28"/>
  <c r="AB2604" i="28"/>
  <c r="AC2604" i="28"/>
  <c r="AD2604" i="28"/>
  <c r="AE2604" i="28"/>
  <c r="AF2604" i="28"/>
  <c r="AG2604" i="28"/>
  <c r="B2605" i="28"/>
  <c r="C2605" i="28"/>
  <c r="D2605" i="28"/>
  <c r="E2605" i="28"/>
  <c r="F2605" i="28"/>
  <c r="G2605" i="28"/>
  <c r="H2605" i="28"/>
  <c r="I2605" i="28"/>
  <c r="J2605" i="28"/>
  <c r="K2605" i="28"/>
  <c r="L2605" i="28"/>
  <c r="M2605" i="28"/>
  <c r="N2605" i="28"/>
  <c r="O2605" i="28"/>
  <c r="P2605" i="28"/>
  <c r="Q2605" i="28"/>
  <c r="R2605" i="28"/>
  <c r="S2605" i="28"/>
  <c r="T2605" i="28"/>
  <c r="U2605" i="28"/>
  <c r="V2605" i="28"/>
  <c r="W2605" i="28"/>
  <c r="X2605" i="28"/>
  <c r="Y2605" i="28"/>
  <c r="Z2605" i="28"/>
  <c r="AA2605" i="28"/>
  <c r="AB2605" i="28"/>
  <c r="AC2605" i="28"/>
  <c r="AD2605" i="28"/>
  <c r="AE2605" i="28"/>
  <c r="AF2605" i="28"/>
  <c r="AG2605" i="28"/>
  <c r="B2606" i="28"/>
  <c r="C2606" i="28"/>
  <c r="D2606" i="28"/>
  <c r="E2606" i="28"/>
  <c r="F2606" i="28"/>
  <c r="G2606" i="28"/>
  <c r="H2606" i="28"/>
  <c r="I2606" i="28"/>
  <c r="J2606" i="28"/>
  <c r="K2606" i="28"/>
  <c r="L2606" i="28"/>
  <c r="M2606" i="28"/>
  <c r="N2606" i="28"/>
  <c r="O2606" i="28"/>
  <c r="P2606" i="28"/>
  <c r="Q2606" i="28"/>
  <c r="R2606" i="28"/>
  <c r="S2606" i="28"/>
  <c r="T2606" i="28"/>
  <c r="U2606" i="28"/>
  <c r="V2606" i="28"/>
  <c r="W2606" i="28"/>
  <c r="X2606" i="28"/>
  <c r="Y2606" i="28"/>
  <c r="Z2606" i="28"/>
  <c r="AA2606" i="28"/>
  <c r="AB2606" i="28"/>
  <c r="AC2606" i="28"/>
  <c r="AD2606" i="28"/>
  <c r="AE2606" i="28"/>
  <c r="AF2606" i="28"/>
  <c r="AG2606" i="28"/>
  <c r="B2607" i="28"/>
  <c r="C2607" i="28"/>
  <c r="D2607" i="28"/>
  <c r="E2607" i="28"/>
  <c r="F2607" i="28"/>
  <c r="G2607" i="28"/>
  <c r="H2607" i="28"/>
  <c r="I2607" i="28"/>
  <c r="J2607" i="28"/>
  <c r="K2607" i="28"/>
  <c r="L2607" i="28"/>
  <c r="M2607" i="28"/>
  <c r="N2607" i="28"/>
  <c r="O2607" i="28"/>
  <c r="P2607" i="28"/>
  <c r="Q2607" i="28"/>
  <c r="R2607" i="28"/>
  <c r="S2607" i="28"/>
  <c r="T2607" i="28"/>
  <c r="U2607" i="28"/>
  <c r="V2607" i="28"/>
  <c r="W2607" i="28"/>
  <c r="X2607" i="28"/>
  <c r="Y2607" i="28"/>
  <c r="Z2607" i="28"/>
  <c r="AA2607" i="28"/>
  <c r="AB2607" i="28"/>
  <c r="AC2607" i="28"/>
  <c r="AD2607" i="28"/>
  <c r="AE2607" i="28"/>
  <c r="AF2607" i="28"/>
  <c r="AG2607" i="28"/>
  <c r="B2608" i="28"/>
  <c r="C2608" i="28"/>
  <c r="D2608" i="28"/>
  <c r="E2608" i="28"/>
  <c r="F2608" i="28"/>
  <c r="G2608" i="28"/>
  <c r="H2608" i="28"/>
  <c r="I2608" i="28"/>
  <c r="J2608" i="28"/>
  <c r="K2608" i="28"/>
  <c r="L2608" i="28"/>
  <c r="M2608" i="28"/>
  <c r="N2608" i="28"/>
  <c r="O2608" i="28"/>
  <c r="P2608" i="28"/>
  <c r="Q2608" i="28"/>
  <c r="R2608" i="28"/>
  <c r="S2608" i="28"/>
  <c r="T2608" i="28"/>
  <c r="U2608" i="28"/>
  <c r="V2608" i="28"/>
  <c r="W2608" i="28"/>
  <c r="X2608" i="28"/>
  <c r="Y2608" i="28"/>
  <c r="Z2608" i="28"/>
  <c r="AA2608" i="28"/>
  <c r="AB2608" i="28"/>
  <c r="AC2608" i="28"/>
  <c r="AD2608" i="28"/>
  <c r="AE2608" i="28"/>
  <c r="AF2608" i="28"/>
  <c r="AG2608" i="28"/>
  <c r="B2609" i="28"/>
  <c r="C2609" i="28"/>
  <c r="D2609" i="28"/>
  <c r="E2609" i="28"/>
  <c r="F2609" i="28"/>
  <c r="G2609" i="28"/>
  <c r="H2609" i="28"/>
  <c r="I2609" i="28"/>
  <c r="J2609" i="28"/>
  <c r="K2609" i="28"/>
  <c r="L2609" i="28"/>
  <c r="M2609" i="28"/>
  <c r="N2609" i="28"/>
  <c r="O2609" i="28"/>
  <c r="P2609" i="28"/>
  <c r="Q2609" i="28"/>
  <c r="R2609" i="28"/>
  <c r="S2609" i="28"/>
  <c r="T2609" i="28"/>
  <c r="U2609" i="28"/>
  <c r="V2609" i="28"/>
  <c r="W2609" i="28"/>
  <c r="X2609" i="28"/>
  <c r="Y2609" i="28"/>
  <c r="Z2609" i="28"/>
  <c r="AA2609" i="28"/>
  <c r="AB2609" i="28"/>
  <c r="AC2609" i="28"/>
  <c r="AD2609" i="28"/>
  <c r="AE2609" i="28"/>
  <c r="AF2609" i="28"/>
  <c r="AG2609" i="28"/>
  <c r="B2610" i="28"/>
  <c r="C2610" i="28"/>
  <c r="D2610" i="28"/>
  <c r="E2610" i="28"/>
  <c r="F2610" i="28"/>
  <c r="G2610" i="28"/>
  <c r="H2610" i="28"/>
  <c r="I2610" i="28"/>
  <c r="J2610" i="28"/>
  <c r="K2610" i="28"/>
  <c r="L2610" i="28"/>
  <c r="M2610" i="28"/>
  <c r="N2610" i="28"/>
  <c r="O2610" i="28"/>
  <c r="P2610" i="28"/>
  <c r="Q2610" i="28"/>
  <c r="R2610" i="28"/>
  <c r="S2610" i="28"/>
  <c r="T2610" i="28"/>
  <c r="U2610" i="28"/>
  <c r="V2610" i="28"/>
  <c r="W2610" i="28"/>
  <c r="X2610" i="28"/>
  <c r="Y2610" i="28"/>
  <c r="Z2610" i="28"/>
  <c r="AA2610" i="28"/>
  <c r="AB2610" i="28"/>
  <c r="AC2610" i="28"/>
  <c r="AD2610" i="28"/>
  <c r="AE2610" i="28"/>
  <c r="AF2610" i="28"/>
  <c r="AG2610" i="28"/>
  <c r="B2611" i="28"/>
  <c r="C2611" i="28"/>
  <c r="D2611" i="28"/>
  <c r="E2611" i="28"/>
  <c r="F2611" i="28"/>
  <c r="G2611" i="28"/>
  <c r="H2611" i="28"/>
  <c r="I2611" i="28"/>
  <c r="J2611" i="28"/>
  <c r="K2611" i="28"/>
  <c r="L2611" i="28"/>
  <c r="M2611" i="28"/>
  <c r="N2611" i="28"/>
  <c r="O2611" i="28"/>
  <c r="P2611" i="28"/>
  <c r="Q2611" i="28"/>
  <c r="R2611" i="28"/>
  <c r="S2611" i="28"/>
  <c r="T2611" i="28"/>
  <c r="U2611" i="28"/>
  <c r="V2611" i="28"/>
  <c r="W2611" i="28"/>
  <c r="X2611" i="28"/>
  <c r="Y2611" i="28"/>
  <c r="Z2611" i="28"/>
  <c r="AA2611" i="28"/>
  <c r="AB2611" i="28"/>
  <c r="AC2611" i="28"/>
  <c r="AD2611" i="28"/>
  <c r="AE2611" i="28"/>
  <c r="AF2611" i="28"/>
  <c r="AG2611" i="28"/>
  <c r="B2612" i="28"/>
  <c r="C2612" i="28"/>
  <c r="D2612" i="28"/>
  <c r="E2612" i="28"/>
  <c r="F2612" i="28"/>
  <c r="G2612" i="28"/>
  <c r="H2612" i="28"/>
  <c r="I2612" i="28"/>
  <c r="J2612" i="28"/>
  <c r="K2612" i="28"/>
  <c r="L2612" i="28"/>
  <c r="M2612" i="28"/>
  <c r="N2612" i="28"/>
  <c r="O2612" i="28"/>
  <c r="P2612" i="28"/>
  <c r="Q2612" i="28"/>
  <c r="R2612" i="28"/>
  <c r="S2612" i="28"/>
  <c r="T2612" i="28"/>
  <c r="U2612" i="28"/>
  <c r="V2612" i="28"/>
  <c r="W2612" i="28"/>
  <c r="X2612" i="28"/>
  <c r="Y2612" i="28"/>
  <c r="Z2612" i="28"/>
  <c r="AA2612" i="28"/>
  <c r="AB2612" i="28"/>
  <c r="AC2612" i="28"/>
  <c r="AD2612" i="28"/>
  <c r="AE2612" i="28"/>
  <c r="AF2612" i="28"/>
  <c r="AG2612" i="28"/>
  <c r="B2613" i="28"/>
  <c r="C2613" i="28"/>
  <c r="D2613" i="28"/>
  <c r="E2613" i="28"/>
  <c r="F2613" i="28"/>
  <c r="G2613" i="28"/>
  <c r="H2613" i="28"/>
  <c r="I2613" i="28"/>
  <c r="J2613" i="28"/>
  <c r="K2613" i="28"/>
  <c r="L2613" i="28"/>
  <c r="M2613" i="28"/>
  <c r="N2613" i="28"/>
  <c r="O2613" i="28"/>
  <c r="P2613" i="28"/>
  <c r="Q2613" i="28"/>
  <c r="R2613" i="28"/>
  <c r="S2613" i="28"/>
  <c r="T2613" i="28"/>
  <c r="U2613" i="28"/>
  <c r="V2613" i="28"/>
  <c r="W2613" i="28"/>
  <c r="X2613" i="28"/>
  <c r="Y2613" i="28"/>
  <c r="Z2613" i="28"/>
  <c r="AA2613" i="28"/>
  <c r="AB2613" i="28"/>
  <c r="AC2613" i="28"/>
  <c r="AD2613" i="28"/>
  <c r="AE2613" i="28"/>
  <c r="AF2613" i="28"/>
  <c r="AG2613" i="28"/>
  <c r="B2614" i="28"/>
  <c r="C2614" i="28"/>
  <c r="D2614" i="28"/>
  <c r="E2614" i="28"/>
  <c r="F2614" i="28"/>
  <c r="G2614" i="28"/>
  <c r="H2614" i="28"/>
  <c r="I2614" i="28"/>
  <c r="J2614" i="28"/>
  <c r="K2614" i="28"/>
  <c r="L2614" i="28"/>
  <c r="M2614" i="28"/>
  <c r="N2614" i="28"/>
  <c r="O2614" i="28"/>
  <c r="P2614" i="28"/>
  <c r="Q2614" i="28"/>
  <c r="R2614" i="28"/>
  <c r="S2614" i="28"/>
  <c r="T2614" i="28"/>
  <c r="U2614" i="28"/>
  <c r="V2614" i="28"/>
  <c r="W2614" i="28"/>
  <c r="X2614" i="28"/>
  <c r="Y2614" i="28"/>
  <c r="Z2614" i="28"/>
  <c r="AA2614" i="28"/>
  <c r="AB2614" i="28"/>
  <c r="AC2614" i="28"/>
  <c r="AD2614" i="28"/>
  <c r="AE2614" i="28"/>
  <c r="AF2614" i="28"/>
  <c r="AG2614" i="28"/>
  <c r="B2615" i="28"/>
  <c r="C2615" i="28"/>
  <c r="D2615" i="28"/>
  <c r="E2615" i="28"/>
  <c r="F2615" i="28"/>
  <c r="G2615" i="28"/>
  <c r="H2615" i="28"/>
  <c r="I2615" i="28"/>
  <c r="J2615" i="28"/>
  <c r="K2615" i="28"/>
  <c r="L2615" i="28"/>
  <c r="M2615" i="28"/>
  <c r="N2615" i="28"/>
  <c r="O2615" i="28"/>
  <c r="P2615" i="28"/>
  <c r="Q2615" i="28"/>
  <c r="R2615" i="28"/>
  <c r="S2615" i="28"/>
  <c r="T2615" i="28"/>
  <c r="U2615" i="28"/>
  <c r="V2615" i="28"/>
  <c r="W2615" i="28"/>
  <c r="X2615" i="28"/>
  <c r="Y2615" i="28"/>
  <c r="Z2615" i="28"/>
  <c r="AA2615" i="28"/>
  <c r="AB2615" i="28"/>
  <c r="AC2615" i="28"/>
  <c r="AD2615" i="28"/>
  <c r="AE2615" i="28"/>
  <c r="AF2615" i="28"/>
  <c r="AG2615" i="28"/>
  <c r="B2616" i="28"/>
  <c r="C2616" i="28"/>
  <c r="D2616" i="28"/>
  <c r="E2616" i="28"/>
  <c r="F2616" i="28"/>
  <c r="G2616" i="28"/>
  <c r="H2616" i="28"/>
  <c r="I2616" i="28"/>
  <c r="J2616" i="28"/>
  <c r="K2616" i="28"/>
  <c r="L2616" i="28"/>
  <c r="M2616" i="28"/>
  <c r="N2616" i="28"/>
  <c r="O2616" i="28"/>
  <c r="P2616" i="28"/>
  <c r="Q2616" i="28"/>
  <c r="R2616" i="28"/>
  <c r="S2616" i="28"/>
  <c r="T2616" i="28"/>
  <c r="U2616" i="28"/>
  <c r="V2616" i="28"/>
  <c r="W2616" i="28"/>
  <c r="X2616" i="28"/>
  <c r="Y2616" i="28"/>
  <c r="Z2616" i="28"/>
  <c r="AA2616" i="28"/>
  <c r="AB2616" i="28"/>
  <c r="AC2616" i="28"/>
  <c r="AD2616" i="28"/>
  <c r="AE2616" i="28"/>
  <c r="AF2616" i="28"/>
  <c r="AG2616" i="28"/>
  <c r="B2617" i="28"/>
  <c r="C2617" i="28"/>
  <c r="D2617" i="28"/>
  <c r="E2617" i="28"/>
  <c r="F2617" i="28"/>
  <c r="G2617" i="28"/>
  <c r="H2617" i="28"/>
  <c r="I2617" i="28"/>
  <c r="J2617" i="28"/>
  <c r="K2617" i="28"/>
  <c r="L2617" i="28"/>
  <c r="M2617" i="28"/>
  <c r="N2617" i="28"/>
  <c r="O2617" i="28"/>
  <c r="P2617" i="28"/>
  <c r="Q2617" i="28"/>
  <c r="R2617" i="28"/>
  <c r="S2617" i="28"/>
  <c r="T2617" i="28"/>
  <c r="U2617" i="28"/>
  <c r="V2617" i="28"/>
  <c r="W2617" i="28"/>
  <c r="X2617" i="28"/>
  <c r="Y2617" i="28"/>
  <c r="Z2617" i="28"/>
  <c r="AA2617" i="28"/>
  <c r="AB2617" i="28"/>
  <c r="AC2617" i="28"/>
  <c r="AD2617" i="28"/>
  <c r="AE2617" i="28"/>
  <c r="AF2617" i="28"/>
  <c r="AG2617" i="28"/>
  <c r="B2618" i="28"/>
  <c r="C2618" i="28"/>
  <c r="D2618" i="28"/>
  <c r="E2618" i="28"/>
  <c r="F2618" i="28"/>
  <c r="G2618" i="28"/>
  <c r="H2618" i="28"/>
  <c r="I2618" i="28"/>
  <c r="J2618" i="28"/>
  <c r="K2618" i="28"/>
  <c r="L2618" i="28"/>
  <c r="M2618" i="28"/>
  <c r="N2618" i="28"/>
  <c r="O2618" i="28"/>
  <c r="P2618" i="28"/>
  <c r="Q2618" i="28"/>
  <c r="R2618" i="28"/>
  <c r="S2618" i="28"/>
  <c r="T2618" i="28"/>
  <c r="U2618" i="28"/>
  <c r="V2618" i="28"/>
  <c r="W2618" i="28"/>
  <c r="X2618" i="28"/>
  <c r="Y2618" i="28"/>
  <c r="Z2618" i="28"/>
  <c r="AA2618" i="28"/>
  <c r="AB2618" i="28"/>
  <c r="AC2618" i="28"/>
  <c r="AD2618" i="28"/>
  <c r="AE2618" i="28"/>
  <c r="AF2618" i="28"/>
  <c r="AG2618" i="28"/>
  <c r="B2621" i="28"/>
  <c r="C2621" i="28"/>
  <c r="D2621" i="28"/>
  <c r="E2621" i="28"/>
  <c r="F2621" i="28"/>
  <c r="G2621" i="28"/>
  <c r="H2621" i="28"/>
  <c r="I2621" i="28"/>
  <c r="J2621" i="28"/>
  <c r="K2621" i="28"/>
  <c r="L2621" i="28"/>
  <c r="M2621" i="28"/>
  <c r="N2621" i="28"/>
  <c r="O2621" i="28"/>
  <c r="P2621" i="28"/>
  <c r="Q2621" i="28"/>
  <c r="R2621" i="28"/>
  <c r="S2621" i="28"/>
  <c r="T2621" i="28"/>
  <c r="U2621" i="28"/>
  <c r="V2621" i="28"/>
  <c r="W2621" i="28"/>
  <c r="X2621" i="28"/>
  <c r="Y2621" i="28"/>
  <c r="Z2621" i="28"/>
  <c r="AA2621" i="28"/>
  <c r="AB2621" i="28"/>
  <c r="AC2621" i="28"/>
  <c r="AD2621" i="28"/>
  <c r="AE2621" i="28"/>
  <c r="AF2621" i="28"/>
  <c r="AG2621" i="28"/>
  <c r="B2622" i="28"/>
  <c r="C2622" i="28"/>
  <c r="D2622" i="28"/>
  <c r="E2622" i="28"/>
  <c r="F2622" i="28"/>
  <c r="G2622" i="28"/>
  <c r="H2622" i="28"/>
  <c r="I2622" i="28"/>
  <c r="J2622" i="28"/>
  <c r="K2622" i="28"/>
  <c r="L2622" i="28"/>
  <c r="M2622" i="28"/>
  <c r="N2622" i="28"/>
  <c r="O2622" i="28"/>
  <c r="P2622" i="28"/>
  <c r="Q2622" i="28"/>
  <c r="R2622" i="28"/>
  <c r="S2622" i="28"/>
  <c r="T2622" i="28"/>
  <c r="U2622" i="28"/>
  <c r="V2622" i="28"/>
  <c r="W2622" i="28"/>
  <c r="X2622" i="28"/>
  <c r="Y2622" i="28"/>
  <c r="Z2622" i="28"/>
  <c r="AA2622" i="28"/>
  <c r="AB2622" i="28"/>
  <c r="AC2622" i="28"/>
  <c r="AD2622" i="28"/>
  <c r="AE2622" i="28"/>
  <c r="AF2622" i="28"/>
  <c r="AG2622" i="28"/>
  <c r="B2623" i="28"/>
  <c r="C2623" i="28"/>
  <c r="D2623" i="28"/>
  <c r="E2623" i="28"/>
  <c r="F2623" i="28"/>
  <c r="G2623" i="28"/>
  <c r="H2623" i="28"/>
  <c r="I2623" i="28"/>
  <c r="J2623" i="28"/>
  <c r="K2623" i="28"/>
  <c r="L2623" i="28"/>
  <c r="M2623" i="28"/>
  <c r="N2623" i="28"/>
  <c r="O2623" i="28"/>
  <c r="P2623" i="28"/>
  <c r="Q2623" i="28"/>
  <c r="R2623" i="28"/>
  <c r="S2623" i="28"/>
  <c r="T2623" i="28"/>
  <c r="U2623" i="28"/>
  <c r="V2623" i="28"/>
  <c r="W2623" i="28"/>
  <c r="X2623" i="28"/>
  <c r="Y2623" i="28"/>
  <c r="Z2623" i="28"/>
  <c r="AA2623" i="28"/>
  <c r="AB2623" i="28"/>
  <c r="AC2623" i="28"/>
  <c r="AD2623" i="28"/>
  <c r="AE2623" i="28"/>
  <c r="AF2623" i="28"/>
  <c r="AG2623" i="28"/>
  <c r="B2624" i="28"/>
  <c r="C2624" i="28"/>
  <c r="D2624" i="28"/>
  <c r="E2624" i="28"/>
  <c r="F2624" i="28"/>
  <c r="G2624" i="28"/>
  <c r="H2624" i="28"/>
  <c r="I2624" i="28"/>
  <c r="J2624" i="28"/>
  <c r="K2624" i="28"/>
  <c r="L2624" i="28"/>
  <c r="M2624" i="28"/>
  <c r="N2624" i="28"/>
  <c r="O2624" i="28"/>
  <c r="P2624" i="28"/>
  <c r="Q2624" i="28"/>
  <c r="R2624" i="28"/>
  <c r="S2624" i="28"/>
  <c r="T2624" i="28"/>
  <c r="U2624" i="28"/>
  <c r="V2624" i="28"/>
  <c r="W2624" i="28"/>
  <c r="X2624" i="28"/>
  <c r="Y2624" i="28"/>
  <c r="Z2624" i="28"/>
  <c r="AA2624" i="28"/>
  <c r="AB2624" i="28"/>
  <c r="AC2624" i="28"/>
  <c r="AD2624" i="28"/>
  <c r="AE2624" i="28"/>
  <c r="AF2624" i="28"/>
  <c r="AG2624" i="28"/>
  <c r="B2625" i="28"/>
  <c r="C2625" i="28"/>
  <c r="D2625" i="28"/>
  <c r="E2625" i="28"/>
  <c r="F2625" i="28"/>
  <c r="G2625" i="28"/>
  <c r="H2625" i="28"/>
  <c r="I2625" i="28"/>
  <c r="J2625" i="28"/>
  <c r="K2625" i="28"/>
  <c r="L2625" i="28"/>
  <c r="M2625" i="28"/>
  <c r="N2625" i="28"/>
  <c r="O2625" i="28"/>
  <c r="P2625" i="28"/>
  <c r="Q2625" i="28"/>
  <c r="R2625" i="28"/>
  <c r="S2625" i="28"/>
  <c r="T2625" i="28"/>
  <c r="U2625" i="28"/>
  <c r="V2625" i="28"/>
  <c r="W2625" i="28"/>
  <c r="X2625" i="28"/>
  <c r="Y2625" i="28"/>
  <c r="Z2625" i="28"/>
  <c r="AA2625" i="28"/>
  <c r="AB2625" i="28"/>
  <c r="AC2625" i="28"/>
  <c r="AD2625" i="28"/>
  <c r="AE2625" i="28"/>
  <c r="AF2625" i="28"/>
  <c r="AG2625" i="28"/>
  <c r="B2626" i="28"/>
  <c r="C2626" i="28"/>
  <c r="D2626" i="28"/>
  <c r="E2626" i="28"/>
  <c r="F2626" i="28"/>
  <c r="G2626" i="28"/>
  <c r="H2626" i="28"/>
  <c r="I2626" i="28"/>
  <c r="J2626" i="28"/>
  <c r="K2626" i="28"/>
  <c r="L2626" i="28"/>
  <c r="M2626" i="28"/>
  <c r="N2626" i="28"/>
  <c r="O2626" i="28"/>
  <c r="P2626" i="28"/>
  <c r="Q2626" i="28"/>
  <c r="R2626" i="28"/>
  <c r="S2626" i="28"/>
  <c r="T2626" i="28"/>
  <c r="U2626" i="28"/>
  <c r="V2626" i="28"/>
  <c r="W2626" i="28"/>
  <c r="X2626" i="28"/>
  <c r="Y2626" i="28"/>
  <c r="Z2626" i="28"/>
  <c r="AA2626" i="28"/>
  <c r="AB2626" i="28"/>
  <c r="AC2626" i="28"/>
  <c r="AD2626" i="28"/>
  <c r="AE2626" i="28"/>
  <c r="AF2626" i="28"/>
  <c r="AG2626" i="28"/>
  <c r="B2627" i="28"/>
  <c r="C2627" i="28"/>
  <c r="D2627" i="28"/>
  <c r="E2627" i="28"/>
  <c r="F2627" i="28"/>
  <c r="G2627" i="28"/>
  <c r="H2627" i="28"/>
  <c r="I2627" i="28"/>
  <c r="J2627" i="28"/>
  <c r="K2627" i="28"/>
  <c r="L2627" i="28"/>
  <c r="M2627" i="28"/>
  <c r="N2627" i="28"/>
  <c r="O2627" i="28"/>
  <c r="P2627" i="28"/>
  <c r="Q2627" i="28"/>
  <c r="R2627" i="28"/>
  <c r="S2627" i="28"/>
  <c r="T2627" i="28"/>
  <c r="U2627" i="28"/>
  <c r="V2627" i="28"/>
  <c r="W2627" i="28"/>
  <c r="X2627" i="28"/>
  <c r="Y2627" i="28"/>
  <c r="Z2627" i="28"/>
  <c r="AA2627" i="28"/>
  <c r="AB2627" i="28"/>
  <c r="AC2627" i="28"/>
  <c r="AD2627" i="28"/>
  <c r="AE2627" i="28"/>
  <c r="AF2627" i="28"/>
  <c r="AG2627" i="28"/>
  <c r="B2628" i="28"/>
  <c r="C2628" i="28"/>
  <c r="D2628" i="28"/>
  <c r="E2628" i="28"/>
  <c r="F2628" i="28"/>
  <c r="G2628" i="28"/>
  <c r="H2628" i="28"/>
  <c r="I2628" i="28"/>
  <c r="J2628" i="28"/>
  <c r="K2628" i="28"/>
  <c r="L2628" i="28"/>
  <c r="M2628" i="28"/>
  <c r="N2628" i="28"/>
  <c r="O2628" i="28"/>
  <c r="P2628" i="28"/>
  <c r="Q2628" i="28"/>
  <c r="R2628" i="28"/>
  <c r="S2628" i="28"/>
  <c r="T2628" i="28"/>
  <c r="U2628" i="28"/>
  <c r="V2628" i="28"/>
  <c r="W2628" i="28"/>
  <c r="X2628" i="28"/>
  <c r="Y2628" i="28"/>
  <c r="Z2628" i="28"/>
  <c r="AA2628" i="28"/>
  <c r="AB2628" i="28"/>
  <c r="AC2628" i="28"/>
  <c r="AD2628" i="28"/>
  <c r="AE2628" i="28"/>
  <c r="AF2628" i="28"/>
  <c r="AG2628" i="28"/>
  <c r="B2629" i="28"/>
  <c r="C2629" i="28"/>
  <c r="D2629" i="28"/>
  <c r="E2629" i="28"/>
  <c r="F2629" i="28"/>
  <c r="G2629" i="28"/>
  <c r="H2629" i="28"/>
  <c r="I2629" i="28"/>
  <c r="J2629" i="28"/>
  <c r="K2629" i="28"/>
  <c r="L2629" i="28"/>
  <c r="M2629" i="28"/>
  <c r="N2629" i="28"/>
  <c r="O2629" i="28"/>
  <c r="P2629" i="28"/>
  <c r="Q2629" i="28"/>
  <c r="R2629" i="28"/>
  <c r="S2629" i="28"/>
  <c r="T2629" i="28"/>
  <c r="U2629" i="28"/>
  <c r="V2629" i="28"/>
  <c r="W2629" i="28"/>
  <c r="X2629" i="28"/>
  <c r="Y2629" i="28"/>
  <c r="Z2629" i="28"/>
  <c r="AA2629" i="28"/>
  <c r="AB2629" i="28"/>
  <c r="AC2629" i="28"/>
  <c r="AD2629" i="28"/>
  <c r="AE2629" i="28"/>
  <c r="AF2629" i="28"/>
  <c r="AG2629" i="28"/>
  <c r="B2630" i="28"/>
  <c r="C2630" i="28"/>
  <c r="D2630" i="28"/>
  <c r="E2630" i="28"/>
  <c r="F2630" i="28"/>
  <c r="G2630" i="28"/>
  <c r="H2630" i="28"/>
  <c r="I2630" i="28"/>
  <c r="J2630" i="28"/>
  <c r="K2630" i="28"/>
  <c r="L2630" i="28"/>
  <c r="M2630" i="28"/>
  <c r="N2630" i="28"/>
  <c r="O2630" i="28"/>
  <c r="P2630" i="28"/>
  <c r="Q2630" i="28"/>
  <c r="R2630" i="28"/>
  <c r="S2630" i="28"/>
  <c r="T2630" i="28"/>
  <c r="U2630" i="28"/>
  <c r="V2630" i="28"/>
  <c r="W2630" i="28"/>
  <c r="X2630" i="28"/>
  <c r="Y2630" i="28"/>
  <c r="Z2630" i="28"/>
  <c r="AA2630" i="28"/>
  <c r="AB2630" i="28"/>
  <c r="AC2630" i="28"/>
  <c r="AD2630" i="28"/>
  <c r="AE2630" i="28"/>
  <c r="AF2630" i="28"/>
  <c r="AG2630" i="28"/>
  <c r="B2631" i="28"/>
  <c r="C2631" i="28"/>
  <c r="D2631" i="28"/>
  <c r="E2631" i="28"/>
  <c r="F2631" i="28"/>
  <c r="G2631" i="28"/>
  <c r="H2631" i="28"/>
  <c r="I2631" i="28"/>
  <c r="J2631" i="28"/>
  <c r="K2631" i="28"/>
  <c r="L2631" i="28"/>
  <c r="M2631" i="28"/>
  <c r="N2631" i="28"/>
  <c r="O2631" i="28"/>
  <c r="P2631" i="28"/>
  <c r="Q2631" i="28"/>
  <c r="R2631" i="28"/>
  <c r="S2631" i="28"/>
  <c r="T2631" i="28"/>
  <c r="U2631" i="28"/>
  <c r="V2631" i="28"/>
  <c r="W2631" i="28"/>
  <c r="X2631" i="28"/>
  <c r="Y2631" i="28"/>
  <c r="Z2631" i="28"/>
  <c r="AA2631" i="28"/>
  <c r="AB2631" i="28"/>
  <c r="AC2631" i="28"/>
  <c r="AD2631" i="28"/>
  <c r="AE2631" i="28"/>
  <c r="AF2631" i="28"/>
  <c r="AG2631" i="28"/>
  <c r="B2632" i="28"/>
  <c r="C2632" i="28"/>
  <c r="D2632" i="28"/>
  <c r="E2632" i="28"/>
  <c r="F2632" i="28"/>
  <c r="G2632" i="28"/>
  <c r="H2632" i="28"/>
  <c r="I2632" i="28"/>
  <c r="J2632" i="28"/>
  <c r="K2632" i="28"/>
  <c r="L2632" i="28"/>
  <c r="M2632" i="28"/>
  <c r="N2632" i="28"/>
  <c r="O2632" i="28"/>
  <c r="P2632" i="28"/>
  <c r="Q2632" i="28"/>
  <c r="R2632" i="28"/>
  <c r="S2632" i="28"/>
  <c r="T2632" i="28"/>
  <c r="U2632" i="28"/>
  <c r="V2632" i="28"/>
  <c r="W2632" i="28"/>
  <c r="X2632" i="28"/>
  <c r="Y2632" i="28"/>
  <c r="Z2632" i="28"/>
  <c r="AA2632" i="28"/>
  <c r="AB2632" i="28"/>
  <c r="AC2632" i="28"/>
  <c r="AD2632" i="28"/>
  <c r="AE2632" i="28"/>
  <c r="AF2632" i="28"/>
  <c r="AG2632" i="28"/>
  <c r="B2633" i="28"/>
  <c r="C2633" i="28"/>
  <c r="D2633" i="28"/>
  <c r="E2633" i="28"/>
  <c r="F2633" i="28"/>
  <c r="G2633" i="28"/>
  <c r="H2633" i="28"/>
  <c r="I2633" i="28"/>
  <c r="J2633" i="28"/>
  <c r="K2633" i="28"/>
  <c r="L2633" i="28"/>
  <c r="M2633" i="28"/>
  <c r="N2633" i="28"/>
  <c r="O2633" i="28"/>
  <c r="P2633" i="28"/>
  <c r="Q2633" i="28"/>
  <c r="R2633" i="28"/>
  <c r="S2633" i="28"/>
  <c r="T2633" i="28"/>
  <c r="U2633" i="28"/>
  <c r="V2633" i="28"/>
  <c r="W2633" i="28"/>
  <c r="X2633" i="28"/>
  <c r="Y2633" i="28"/>
  <c r="Z2633" i="28"/>
  <c r="AA2633" i="28"/>
  <c r="AB2633" i="28"/>
  <c r="AC2633" i="28"/>
  <c r="AD2633" i="28"/>
  <c r="AE2633" i="28"/>
  <c r="AF2633" i="28"/>
  <c r="AG2633" i="28"/>
  <c r="B2634" i="28"/>
  <c r="C2634" i="28"/>
  <c r="D2634" i="28"/>
  <c r="E2634" i="28"/>
  <c r="F2634" i="28"/>
  <c r="G2634" i="28"/>
  <c r="H2634" i="28"/>
  <c r="I2634" i="28"/>
  <c r="J2634" i="28"/>
  <c r="K2634" i="28"/>
  <c r="L2634" i="28"/>
  <c r="M2634" i="28"/>
  <c r="N2634" i="28"/>
  <c r="O2634" i="28"/>
  <c r="P2634" i="28"/>
  <c r="Q2634" i="28"/>
  <c r="R2634" i="28"/>
  <c r="S2634" i="28"/>
  <c r="T2634" i="28"/>
  <c r="U2634" i="28"/>
  <c r="V2634" i="28"/>
  <c r="W2634" i="28"/>
  <c r="X2634" i="28"/>
  <c r="Y2634" i="28"/>
  <c r="Z2634" i="28"/>
  <c r="AA2634" i="28"/>
  <c r="AB2634" i="28"/>
  <c r="AC2634" i="28"/>
  <c r="AD2634" i="28"/>
  <c r="AE2634" i="28"/>
  <c r="AF2634" i="28"/>
  <c r="AG2634" i="28"/>
  <c r="B2635" i="28"/>
  <c r="C2635" i="28"/>
  <c r="D2635" i="28"/>
  <c r="E2635" i="28"/>
  <c r="F2635" i="28"/>
  <c r="G2635" i="28"/>
  <c r="H2635" i="28"/>
  <c r="I2635" i="28"/>
  <c r="J2635" i="28"/>
  <c r="K2635" i="28"/>
  <c r="L2635" i="28"/>
  <c r="M2635" i="28"/>
  <c r="N2635" i="28"/>
  <c r="O2635" i="28"/>
  <c r="P2635" i="28"/>
  <c r="Q2635" i="28"/>
  <c r="R2635" i="28"/>
  <c r="S2635" i="28"/>
  <c r="T2635" i="28"/>
  <c r="U2635" i="28"/>
  <c r="V2635" i="28"/>
  <c r="W2635" i="28"/>
  <c r="X2635" i="28"/>
  <c r="Y2635" i="28"/>
  <c r="Z2635" i="28"/>
  <c r="AA2635" i="28"/>
  <c r="AB2635" i="28"/>
  <c r="AC2635" i="28"/>
  <c r="AD2635" i="28"/>
  <c r="AE2635" i="28"/>
  <c r="AF2635" i="28"/>
  <c r="AG2635" i="28"/>
  <c r="B2636" i="28"/>
  <c r="C2636" i="28"/>
  <c r="D2636" i="28"/>
  <c r="E2636" i="28"/>
  <c r="F2636" i="28"/>
  <c r="G2636" i="28"/>
  <c r="H2636" i="28"/>
  <c r="I2636" i="28"/>
  <c r="J2636" i="28"/>
  <c r="K2636" i="28"/>
  <c r="L2636" i="28"/>
  <c r="M2636" i="28"/>
  <c r="N2636" i="28"/>
  <c r="O2636" i="28"/>
  <c r="P2636" i="28"/>
  <c r="Q2636" i="28"/>
  <c r="R2636" i="28"/>
  <c r="S2636" i="28"/>
  <c r="T2636" i="28"/>
  <c r="U2636" i="28"/>
  <c r="V2636" i="28"/>
  <c r="W2636" i="28"/>
  <c r="X2636" i="28"/>
  <c r="Y2636" i="28"/>
  <c r="Z2636" i="28"/>
  <c r="AA2636" i="28"/>
  <c r="AB2636" i="28"/>
  <c r="AC2636" i="28"/>
  <c r="AD2636" i="28"/>
  <c r="AE2636" i="28"/>
  <c r="AF2636" i="28"/>
  <c r="AG2636" i="28"/>
  <c r="B2639" i="28"/>
  <c r="C2639" i="28"/>
  <c r="D2639" i="28"/>
  <c r="E2639" i="28"/>
  <c r="F2639" i="28"/>
  <c r="G2639" i="28"/>
  <c r="H2639" i="28"/>
  <c r="I2639" i="28"/>
  <c r="J2639" i="28"/>
  <c r="K2639" i="28"/>
  <c r="L2639" i="28"/>
  <c r="M2639" i="28"/>
  <c r="N2639" i="28"/>
  <c r="O2639" i="28"/>
  <c r="P2639" i="28"/>
  <c r="Q2639" i="28"/>
  <c r="R2639" i="28"/>
  <c r="S2639" i="28"/>
  <c r="T2639" i="28"/>
  <c r="U2639" i="28"/>
  <c r="V2639" i="28"/>
  <c r="W2639" i="28"/>
  <c r="X2639" i="28"/>
  <c r="Y2639" i="28"/>
  <c r="Z2639" i="28"/>
  <c r="AA2639" i="28"/>
  <c r="AB2639" i="28"/>
  <c r="AC2639" i="28"/>
  <c r="AD2639" i="28"/>
  <c r="AE2639" i="28"/>
  <c r="AF2639" i="28"/>
  <c r="AG2639" i="28"/>
  <c r="B2640" i="28"/>
  <c r="C2640" i="28"/>
  <c r="D2640" i="28"/>
  <c r="E2640" i="28"/>
  <c r="F2640" i="28"/>
  <c r="G2640" i="28"/>
  <c r="H2640" i="28"/>
  <c r="I2640" i="28"/>
  <c r="J2640" i="28"/>
  <c r="K2640" i="28"/>
  <c r="L2640" i="28"/>
  <c r="M2640" i="28"/>
  <c r="N2640" i="28"/>
  <c r="O2640" i="28"/>
  <c r="P2640" i="28"/>
  <c r="Q2640" i="28"/>
  <c r="R2640" i="28"/>
  <c r="S2640" i="28"/>
  <c r="T2640" i="28"/>
  <c r="U2640" i="28"/>
  <c r="V2640" i="28"/>
  <c r="W2640" i="28"/>
  <c r="X2640" i="28"/>
  <c r="Y2640" i="28"/>
  <c r="Z2640" i="28"/>
  <c r="AA2640" i="28"/>
  <c r="AB2640" i="28"/>
  <c r="AC2640" i="28"/>
  <c r="AD2640" i="28"/>
  <c r="AE2640" i="28"/>
  <c r="AF2640" i="28"/>
  <c r="AG2640" i="28"/>
  <c r="B2641" i="28"/>
  <c r="C2641" i="28"/>
  <c r="D2641" i="28"/>
  <c r="E2641" i="28"/>
  <c r="F2641" i="28"/>
  <c r="G2641" i="28"/>
  <c r="H2641" i="28"/>
  <c r="I2641" i="28"/>
  <c r="J2641" i="28"/>
  <c r="K2641" i="28"/>
  <c r="L2641" i="28"/>
  <c r="M2641" i="28"/>
  <c r="N2641" i="28"/>
  <c r="O2641" i="28"/>
  <c r="P2641" i="28"/>
  <c r="Q2641" i="28"/>
  <c r="R2641" i="28"/>
  <c r="S2641" i="28"/>
  <c r="T2641" i="28"/>
  <c r="U2641" i="28"/>
  <c r="V2641" i="28"/>
  <c r="W2641" i="28"/>
  <c r="X2641" i="28"/>
  <c r="Y2641" i="28"/>
  <c r="Z2641" i="28"/>
  <c r="AA2641" i="28"/>
  <c r="AB2641" i="28"/>
  <c r="AC2641" i="28"/>
  <c r="AD2641" i="28"/>
  <c r="AE2641" i="28"/>
  <c r="AF2641" i="28"/>
  <c r="AG2641" i="28"/>
  <c r="B2642" i="28"/>
  <c r="C2642" i="28"/>
  <c r="D2642" i="28"/>
  <c r="E2642" i="28"/>
  <c r="F2642" i="28"/>
  <c r="G2642" i="28"/>
  <c r="H2642" i="28"/>
  <c r="I2642" i="28"/>
  <c r="J2642" i="28"/>
  <c r="K2642" i="28"/>
  <c r="L2642" i="28"/>
  <c r="M2642" i="28"/>
  <c r="N2642" i="28"/>
  <c r="O2642" i="28"/>
  <c r="P2642" i="28"/>
  <c r="Q2642" i="28"/>
  <c r="R2642" i="28"/>
  <c r="S2642" i="28"/>
  <c r="T2642" i="28"/>
  <c r="U2642" i="28"/>
  <c r="V2642" i="28"/>
  <c r="W2642" i="28"/>
  <c r="X2642" i="28"/>
  <c r="Y2642" i="28"/>
  <c r="Z2642" i="28"/>
  <c r="AA2642" i="28"/>
  <c r="AB2642" i="28"/>
  <c r="AC2642" i="28"/>
  <c r="AD2642" i="28"/>
  <c r="AE2642" i="28"/>
  <c r="AF2642" i="28"/>
  <c r="AG2642" i="28"/>
  <c r="B2643" i="28"/>
  <c r="C2643" i="28"/>
  <c r="D2643" i="28"/>
  <c r="E2643" i="28"/>
  <c r="F2643" i="28"/>
  <c r="G2643" i="28"/>
  <c r="H2643" i="28"/>
  <c r="I2643" i="28"/>
  <c r="J2643" i="28"/>
  <c r="K2643" i="28"/>
  <c r="L2643" i="28"/>
  <c r="M2643" i="28"/>
  <c r="N2643" i="28"/>
  <c r="O2643" i="28"/>
  <c r="P2643" i="28"/>
  <c r="Q2643" i="28"/>
  <c r="R2643" i="28"/>
  <c r="S2643" i="28"/>
  <c r="T2643" i="28"/>
  <c r="U2643" i="28"/>
  <c r="V2643" i="28"/>
  <c r="W2643" i="28"/>
  <c r="X2643" i="28"/>
  <c r="Y2643" i="28"/>
  <c r="Z2643" i="28"/>
  <c r="AA2643" i="28"/>
  <c r="AB2643" i="28"/>
  <c r="AC2643" i="28"/>
  <c r="AD2643" i="28"/>
  <c r="AE2643" i="28"/>
  <c r="AF2643" i="28"/>
  <c r="AG2643" i="28"/>
  <c r="B2644" i="28"/>
  <c r="C2644" i="28"/>
  <c r="D2644" i="28"/>
  <c r="E2644" i="28"/>
  <c r="F2644" i="28"/>
  <c r="G2644" i="28"/>
  <c r="H2644" i="28"/>
  <c r="I2644" i="28"/>
  <c r="J2644" i="28"/>
  <c r="K2644" i="28"/>
  <c r="L2644" i="28"/>
  <c r="M2644" i="28"/>
  <c r="N2644" i="28"/>
  <c r="O2644" i="28"/>
  <c r="P2644" i="28"/>
  <c r="Q2644" i="28"/>
  <c r="R2644" i="28"/>
  <c r="S2644" i="28"/>
  <c r="T2644" i="28"/>
  <c r="U2644" i="28"/>
  <c r="V2644" i="28"/>
  <c r="W2644" i="28"/>
  <c r="X2644" i="28"/>
  <c r="Y2644" i="28"/>
  <c r="Z2644" i="28"/>
  <c r="AA2644" i="28"/>
  <c r="AB2644" i="28"/>
  <c r="AC2644" i="28"/>
  <c r="AD2644" i="28"/>
  <c r="AE2644" i="28"/>
  <c r="AF2644" i="28"/>
  <c r="AG2644" i="28"/>
  <c r="B2645" i="28"/>
  <c r="C2645" i="28"/>
  <c r="D2645" i="28"/>
  <c r="E2645" i="28"/>
  <c r="F2645" i="28"/>
  <c r="G2645" i="28"/>
  <c r="H2645" i="28"/>
  <c r="I2645" i="28"/>
  <c r="J2645" i="28"/>
  <c r="K2645" i="28"/>
  <c r="L2645" i="28"/>
  <c r="M2645" i="28"/>
  <c r="N2645" i="28"/>
  <c r="O2645" i="28"/>
  <c r="P2645" i="28"/>
  <c r="Q2645" i="28"/>
  <c r="R2645" i="28"/>
  <c r="S2645" i="28"/>
  <c r="T2645" i="28"/>
  <c r="U2645" i="28"/>
  <c r="V2645" i="28"/>
  <c r="W2645" i="28"/>
  <c r="X2645" i="28"/>
  <c r="Y2645" i="28"/>
  <c r="Z2645" i="28"/>
  <c r="AA2645" i="28"/>
  <c r="AB2645" i="28"/>
  <c r="AC2645" i="28"/>
  <c r="AD2645" i="28"/>
  <c r="AE2645" i="28"/>
  <c r="AF2645" i="28"/>
  <c r="AG2645" i="28"/>
  <c r="B2646" i="28"/>
  <c r="C2646" i="28"/>
  <c r="D2646" i="28"/>
  <c r="E2646" i="28"/>
  <c r="F2646" i="28"/>
  <c r="G2646" i="28"/>
  <c r="H2646" i="28"/>
  <c r="I2646" i="28"/>
  <c r="J2646" i="28"/>
  <c r="K2646" i="28"/>
  <c r="L2646" i="28"/>
  <c r="M2646" i="28"/>
  <c r="N2646" i="28"/>
  <c r="O2646" i="28"/>
  <c r="P2646" i="28"/>
  <c r="Q2646" i="28"/>
  <c r="R2646" i="28"/>
  <c r="S2646" i="28"/>
  <c r="T2646" i="28"/>
  <c r="U2646" i="28"/>
  <c r="V2646" i="28"/>
  <c r="W2646" i="28"/>
  <c r="X2646" i="28"/>
  <c r="Y2646" i="28"/>
  <c r="Z2646" i="28"/>
  <c r="AA2646" i="28"/>
  <c r="AB2646" i="28"/>
  <c r="AC2646" i="28"/>
  <c r="AD2646" i="28"/>
  <c r="AE2646" i="28"/>
  <c r="AF2646" i="28"/>
  <c r="AG2646" i="28"/>
  <c r="B2647" i="28"/>
  <c r="C2647" i="28"/>
  <c r="D2647" i="28"/>
  <c r="E2647" i="28"/>
  <c r="F2647" i="28"/>
  <c r="G2647" i="28"/>
  <c r="H2647" i="28"/>
  <c r="I2647" i="28"/>
  <c r="J2647" i="28"/>
  <c r="K2647" i="28"/>
  <c r="L2647" i="28"/>
  <c r="M2647" i="28"/>
  <c r="N2647" i="28"/>
  <c r="O2647" i="28"/>
  <c r="P2647" i="28"/>
  <c r="Q2647" i="28"/>
  <c r="R2647" i="28"/>
  <c r="S2647" i="28"/>
  <c r="T2647" i="28"/>
  <c r="U2647" i="28"/>
  <c r="V2647" i="28"/>
  <c r="W2647" i="28"/>
  <c r="X2647" i="28"/>
  <c r="Y2647" i="28"/>
  <c r="Z2647" i="28"/>
  <c r="AA2647" i="28"/>
  <c r="AB2647" i="28"/>
  <c r="AC2647" i="28"/>
  <c r="AD2647" i="28"/>
  <c r="AE2647" i="28"/>
  <c r="AF2647" i="28"/>
  <c r="AG2647" i="28"/>
  <c r="B2648" i="28"/>
  <c r="C2648" i="28"/>
  <c r="D2648" i="28"/>
  <c r="E2648" i="28"/>
  <c r="F2648" i="28"/>
  <c r="G2648" i="28"/>
  <c r="H2648" i="28"/>
  <c r="I2648" i="28"/>
  <c r="J2648" i="28"/>
  <c r="K2648" i="28"/>
  <c r="L2648" i="28"/>
  <c r="M2648" i="28"/>
  <c r="N2648" i="28"/>
  <c r="O2648" i="28"/>
  <c r="P2648" i="28"/>
  <c r="Q2648" i="28"/>
  <c r="R2648" i="28"/>
  <c r="S2648" i="28"/>
  <c r="T2648" i="28"/>
  <c r="U2648" i="28"/>
  <c r="V2648" i="28"/>
  <c r="W2648" i="28"/>
  <c r="X2648" i="28"/>
  <c r="Y2648" i="28"/>
  <c r="Z2648" i="28"/>
  <c r="AA2648" i="28"/>
  <c r="AB2648" i="28"/>
  <c r="AC2648" i="28"/>
  <c r="AD2648" i="28"/>
  <c r="AE2648" i="28"/>
  <c r="AF2648" i="28"/>
  <c r="AG2648" i="28"/>
  <c r="B2649" i="28"/>
  <c r="C2649" i="28"/>
  <c r="D2649" i="28"/>
  <c r="E2649" i="28"/>
  <c r="F2649" i="28"/>
  <c r="G2649" i="28"/>
  <c r="H2649" i="28"/>
  <c r="I2649" i="28"/>
  <c r="J2649" i="28"/>
  <c r="K2649" i="28"/>
  <c r="L2649" i="28"/>
  <c r="M2649" i="28"/>
  <c r="N2649" i="28"/>
  <c r="O2649" i="28"/>
  <c r="P2649" i="28"/>
  <c r="Q2649" i="28"/>
  <c r="R2649" i="28"/>
  <c r="S2649" i="28"/>
  <c r="T2649" i="28"/>
  <c r="U2649" i="28"/>
  <c r="V2649" i="28"/>
  <c r="W2649" i="28"/>
  <c r="X2649" i="28"/>
  <c r="Y2649" i="28"/>
  <c r="Z2649" i="28"/>
  <c r="AA2649" i="28"/>
  <c r="AB2649" i="28"/>
  <c r="AC2649" i="28"/>
  <c r="AD2649" i="28"/>
  <c r="AE2649" i="28"/>
  <c r="AF2649" i="28"/>
  <c r="AG2649" i="28"/>
  <c r="B2650" i="28"/>
  <c r="C2650" i="28"/>
  <c r="D2650" i="28"/>
  <c r="E2650" i="28"/>
  <c r="F2650" i="28"/>
  <c r="G2650" i="28"/>
  <c r="H2650" i="28"/>
  <c r="I2650" i="28"/>
  <c r="J2650" i="28"/>
  <c r="K2650" i="28"/>
  <c r="L2650" i="28"/>
  <c r="M2650" i="28"/>
  <c r="N2650" i="28"/>
  <c r="O2650" i="28"/>
  <c r="P2650" i="28"/>
  <c r="Q2650" i="28"/>
  <c r="R2650" i="28"/>
  <c r="S2650" i="28"/>
  <c r="T2650" i="28"/>
  <c r="U2650" i="28"/>
  <c r="V2650" i="28"/>
  <c r="W2650" i="28"/>
  <c r="X2650" i="28"/>
  <c r="Y2650" i="28"/>
  <c r="Z2650" i="28"/>
  <c r="AA2650" i="28"/>
  <c r="AB2650" i="28"/>
  <c r="AC2650" i="28"/>
  <c r="AD2650" i="28"/>
  <c r="AE2650" i="28"/>
  <c r="AF2650" i="28"/>
  <c r="AG2650" i="28"/>
  <c r="B2651" i="28"/>
  <c r="C2651" i="28"/>
  <c r="D2651" i="28"/>
  <c r="E2651" i="28"/>
  <c r="F2651" i="28"/>
  <c r="G2651" i="28"/>
  <c r="H2651" i="28"/>
  <c r="I2651" i="28"/>
  <c r="J2651" i="28"/>
  <c r="K2651" i="28"/>
  <c r="L2651" i="28"/>
  <c r="M2651" i="28"/>
  <c r="N2651" i="28"/>
  <c r="O2651" i="28"/>
  <c r="P2651" i="28"/>
  <c r="Q2651" i="28"/>
  <c r="R2651" i="28"/>
  <c r="S2651" i="28"/>
  <c r="T2651" i="28"/>
  <c r="U2651" i="28"/>
  <c r="V2651" i="28"/>
  <c r="W2651" i="28"/>
  <c r="X2651" i="28"/>
  <c r="Y2651" i="28"/>
  <c r="Z2651" i="28"/>
  <c r="AA2651" i="28"/>
  <c r="AB2651" i="28"/>
  <c r="AC2651" i="28"/>
  <c r="AD2651" i="28"/>
  <c r="AE2651" i="28"/>
  <c r="AF2651" i="28"/>
  <c r="AG2651" i="28"/>
  <c r="B2652" i="28"/>
  <c r="C2652" i="28"/>
  <c r="D2652" i="28"/>
  <c r="E2652" i="28"/>
  <c r="F2652" i="28"/>
  <c r="G2652" i="28"/>
  <c r="H2652" i="28"/>
  <c r="I2652" i="28"/>
  <c r="J2652" i="28"/>
  <c r="K2652" i="28"/>
  <c r="L2652" i="28"/>
  <c r="M2652" i="28"/>
  <c r="N2652" i="28"/>
  <c r="O2652" i="28"/>
  <c r="P2652" i="28"/>
  <c r="Q2652" i="28"/>
  <c r="R2652" i="28"/>
  <c r="S2652" i="28"/>
  <c r="T2652" i="28"/>
  <c r="U2652" i="28"/>
  <c r="V2652" i="28"/>
  <c r="W2652" i="28"/>
  <c r="X2652" i="28"/>
  <c r="Y2652" i="28"/>
  <c r="Z2652" i="28"/>
  <c r="AA2652" i="28"/>
  <c r="AB2652" i="28"/>
  <c r="AC2652" i="28"/>
  <c r="AD2652" i="28"/>
  <c r="AE2652" i="28"/>
  <c r="AF2652" i="28"/>
  <c r="AG2652" i="28"/>
  <c r="B2653" i="28"/>
  <c r="C2653" i="28"/>
  <c r="D2653" i="28"/>
  <c r="E2653" i="28"/>
  <c r="F2653" i="28"/>
  <c r="G2653" i="28"/>
  <c r="H2653" i="28"/>
  <c r="I2653" i="28"/>
  <c r="J2653" i="28"/>
  <c r="K2653" i="28"/>
  <c r="L2653" i="28"/>
  <c r="M2653" i="28"/>
  <c r="N2653" i="28"/>
  <c r="O2653" i="28"/>
  <c r="P2653" i="28"/>
  <c r="Q2653" i="28"/>
  <c r="R2653" i="28"/>
  <c r="S2653" i="28"/>
  <c r="T2653" i="28"/>
  <c r="U2653" i="28"/>
  <c r="V2653" i="28"/>
  <c r="W2653" i="28"/>
  <c r="X2653" i="28"/>
  <c r="Y2653" i="28"/>
  <c r="Z2653" i="28"/>
  <c r="AA2653" i="28"/>
  <c r="AB2653" i="28"/>
  <c r="AC2653" i="28"/>
  <c r="AD2653" i="28"/>
  <c r="AE2653" i="28"/>
  <c r="AF2653" i="28"/>
  <c r="AG2653" i="28"/>
  <c r="B2654" i="28"/>
  <c r="C2654" i="28"/>
  <c r="D2654" i="28"/>
  <c r="E2654" i="28"/>
  <c r="F2654" i="28"/>
  <c r="G2654" i="28"/>
  <c r="H2654" i="28"/>
  <c r="I2654" i="28"/>
  <c r="J2654" i="28"/>
  <c r="K2654" i="28"/>
  <c r="L2654" i="28"/>
  <c r="M2654" i="28"/>
  <c r="N2654" i="28"/>
  <c r="O2654" i="28"/>
  <c r="P2654" i="28"/>
  <c r="Q2654" i="28"/>
  <c r="R2654" i="28"/>
  <c r="S2654" i="28"/>
  <c r="T2654" i="28"/>
  <c r="U2654" i="28"/>
  <c r="V2654" i="28"/>
  <c r="W2654" i="28"/>
  <c r="X2654" i="28"/>
  <c r="Y2654" i="28"/>
  <c r="Z2654" i="28"/>
  <c r="AA2654" i="28"/>
  <c r="AB2654" i="28"/>
  <c r="AC2654" i="28"/>
  <c r="AD2654" i="28"/>
  <c r="AE2654" i="28"/>
  <c r="AF2654" i="28"/>
  <c r="AG2654" i="28"/>
  <c r="B2707" i="28"/>
  <c r="C2707" i="28"/>
  <c r="D2707" i="28"/>
  <c r="E2707" i="28"/>
  <c r="B2711" i="28"/>
  <c r="B2713" i="28"/>
  <c r="Y35" i="22" s="1"/>
  <c r="B2715" i="28"/>
  <c r="Y34" i="22" s="1"/>
  <c r="B2716" i="28"/>
  <c r="B2808" i="28"/>
  <c r="B2809" i="28"/>
  <c r="B2810" i="28"/>
  <c r="B2811" i="28"/>
  <c r="B2812" i="28"/>
  <c r="B2813" i="28"/>
  <c r="B2815" i="28"/>
  <c r="B2817" i="28"/>
  <c r="B2818" i="28"/>
  <c r="B2821" i="28"/>
  <c r="B2823" i="28"/>
  <c r="B2835" i="28"/>
  <c r="C2835" i="28"/>
  <c r="D2835" i="28"/>
  <c r="E2835" i="28"/>
  <c r="F2835" i="28"/>
  <c r="G2835" i="28"/>
  <c r="H2835" i="28"/>
  <c r="I2835" i="28"/>
  <c r="J2835" i="28"/>
  <c r="K2835" i="28"/>
  <c r="L2835" i="28"/>
  <c r="M2835" i="28"/>
  <c r="N2835" i="28"/>
  <c r="O2835" i="28"/>
  <c r="P2835" i="28"/>
  <c r="Q2835" i="28"/>
  <c r="R2835" i="28"/>
  <c r="S2835" i="28"/>
  <c r="T2835" i="28"/>
  <c r="U2835" i="28"/>
  <c r="V2835" i="28"/>
  <c r="W2835" i="28"/>
  <c r="X2835" i="28"/>
  <c r="Y2835" i="28"/>
  <c r="Z2835" i="28"/>
  <c r="AA2835" i="28"/>
  <c r="AB2835" i="28"/>
  <c r="AC2835" i="28"/>
  <c r="AD2835" i="28"/>
  <c r="AE2835" i="28"/>
  <c r="AF2835" i="28"/>
  <c r="AG2835" i="28"/>
  <c r="AH2835" i="28"/>
  <c r="AI2835" i="28"/>
  <c r="AJ2835" i="28"/>
  <c r="AK2835" i="28"/>
  <c r="AL2835" i="28"/>
  <c r="AM2835" i="28"/>
  <c r="AN2835" i="28"/>
  <c r="AO2835" i="28"/>
  <c r="AP2835" i="28"/>
  <c r="AQ2835" i="28"/>
  <c r="AR2835" i="28"/>
  <c r="AS2835" i="28"/>
  <c r="AT2835" i="28"/>
  <c r="AU2835" i="28"/>
  <c r="AV2835" i="28"/>
  <c r="AW2835" i="28"/>
  <c r="AX2835" i="28"/>
  <c r="AY2835" i="28"/>
  <c r="AZ2835" i="28"/>
  <c r="BA2835" i="28"/>
  <c r="BB2835" i="28"/>
  <c r="BC2835" i="28"/>
  <c r="BD2835" i="28"/>
  <c r="BE2835" i="28"/>
  <c r="BF2835" i="28"/>
  <c r="BG2835" i="28"/>
  <c r="BH2835" i="28"/>
  <c r="BI2835" i="28"/>
  <c r="BJ2835" i="28"/>
  <c r="BK2835" i="28"/>
  <c r="BL2835" i="28"/>
  <c r="BM2835" i="28"/>
  <c r="BN2835" i="28"/>
  <c r="BO2835" i="28"/>
  <c r="BP2835" i="28"/>
  <c r="BQ2835" i="28"/>
  <c r="BR2835" i="28"/>
  <c r="BS2835" i="28"/>
  <c r="BT2835" i="28"/>
  <c r="BU2835" i="28"/>
  <c r="BV2835" i="28"/>
  <c r="BW2835" i="28"/>
  <c r="BX2835" i="28"/>
  <c r="BY2835" i="28"/>
  <c r="BZ2835" i="28"/>
  <c r="CA2835" i="28"/>
  <c r="CB2835" i="28"/>
  <c r="CC2835" i="28"/>
  <c r="CD2835" i="28"/>
  <c r="CE2835" i="28"/>
  <c r="CF2835" i="28"/>
  <c r="CG2835" i="28"/>
  <c r="CH2835" i="28"/>
  <c r="CI2835" i="28"/>
  <c r="CJ2835" i="28"/>
  <c r="CK2835" i="28"/>
  <c r="CL2835" i="28"/>
  <c r="CM2835" i="28"/>
  <c r="CN2835" i="28"/>
  <c r="CO2835" i="28"/>
  <c r="CP2835" i="28"/>
  <c r="CQ2835" i="28"/>
  <c r="CR2835" i="28"/>
  <c r="CS2835" i="28"/>
  <c r="CT2835" i="28"/>
  <c r="CU2835" i="28"/>
  <c r="CV2835" i="28"/>
  <c r="CW2835" i="28"/>
  <c r="CX2835" i="28"/>
  <c r="CY2835" i="28"/>
  <c r="CZ2835" i="28"/>
  <c r="DA2835" i="28"/>
  <c r="DB2835" i="28"/>
  <c r="DC2835" i="28"/>
  <c r="DD2835" i="28"/>
  <c r="DE2835" i="28"/>
  <c r="DF2835" i="28"/>
  <c r="DG2835" i="28"/>
  <c r="DH2835" i="28"/>
  <c r="DI2835" i="28"/>
  <c r="DJ2835" i="28"/>
  <c r="DK2835" i="28"/>
  <c r="DL2835" i="28"/>
  <c r="DM2835" i="28"/>
  <c r="DN2835" i="28"/>
  <c r="DO2835" i="28"/>
  <c r="DP2835" i="28"/>
  <c r="DQ2835" i="28"/>
  <c r="DR2835" i="28"/>
  <c r="DS2835" i="28"/>
  <c r="DT2835" i="28"/>
  <c r="DU2835" i="28"/>
  <c r="DV2835" i="28"/>
  <c r="DW2835" i="28"/>
  <c r="DX2835" i="28"/>
  <c r="DY2835" i="28"/>
  <c r="B2836" i="28"/>
  <c r="C2836" i="28"/>
  <c r="D2836" i="28"/>
  <c r="E2836" i="28"/>
  <c r="F2836" i="28"/>
  <c r="G2836" i="28"/>
  <c r="H2836" i="28"/>
  <c r="I2836" i="28"/>
  <c r="J2836" i="28"/>
  <c r="K2836" i="28"/>
  <c r="L2836" i="28"/>
  <c r="M2836" i="28"/>
  <c r="N2836" i="28"/>
  <c r="O2836" i="28"/>
  <c r="P2836" i="28"/>
  <c r="Q2836" i="28"/>
  <c r="R2836" i="28"/>
  <c r="S2836" i="28"/>
  <c r="T2836" i="28"/>
  <c r="U2836" i="28"/>
  <c r="V2836" i="28"/>
  <c r="W2836" i="28"/>
  <c r="X2836" i="28"/>
  <c r="Y2836" i="28"/>
  <c r="Z2836" i="28"/>
  <c r="AA2836" i="28"/>
  <c r="AB2836" i="28"/>
  <c r="AC2836" i="28"/>
  <c r="AD2836" i="28"/>
  <c r="AE2836" i="28"/>
  <c r="AF2836" i="28"/>
  <c r="AG2836" i="28"/>
  <c r="AH2836" i="28"/>
  <c r="AI2836" i="28"/>
  <c r="AJ2836" i="28"/>
  <c r="AK2836" i="28"/>
  <c r="AL2836" i="28"/>
  <c r="AM2836" i="28"/>
  <c r="AN2836" i="28"/>
  <c r="AO2836" i="28"/>
  <c r="AP2836" i="28"/>
  <c r="AQ2836" i="28"/>
  <c r="AR2836" i="28"/>
  <c r="AS2836" i="28"/>
  <c r="AT2836" i="28"/>
  <c r="AU2836" i="28"/>
  <c r="AV2836" i="28"/>
  <c r="AW2836" i="28"/>
  <c r="AX2836" i="28"/>
  <c r="AY2836" i="28"/>
  <c r="AZ2836" i="28"/>
  <c r="BA2836" i="28"/>
  <c r="BB2836" i="28"/>
  <c r="BC2836" i="28"/>
  <c r="BD2836" i="28"/>
  <c r="BE2836" i="28"/>
  <c r="BF2836" i="28"/>
  <c r="BG2836" i="28"/>
  <c r="BH2836" i="28"/>
  <c r="BI2836" i="28"/>
  <c r="BJ2836" i="28"/>
  <c r="BK2836" i="28"/>
  <c r="BL2836" i="28"/>
  <c r="BM2836" i="28"/>
  <c r="BN2836" i="28"/>
  <c r="BO2836" i="28"/>
  <c r="BP2836" i="28"/>
  <c r="BQ2836" i="28"/>
  <c r="BR2836" i="28"/>
  <c r="BS2836" i="28"/>
  <c r="BT2836" i="28"/>
  <c r="BU2836" i="28"/>
  <c r="BV2836" i="28"/>
  <c r="BW2836" i="28"/>
  <c r="BX2836" i="28"/>
  <c r="BY2836" i="28"/>
  <c r="BZ2836" i="28"/>
  <c r="CA2836" i="28"/>
  <c r="CB2836" i="28"/>
  <c r="CC2836" i="28"/>
  <c r="CD2836" i="28"/>
  <c r="CE2836" i="28"/>
  <c r="CF2836" i="28"/>
  <c r="CG2836" i="28"/>
  <c r="CH2836" i="28"/>
  <c r="CI2836" i="28"/>
  <c r="CJ2836" i="28"/>
  <c r="CK2836" i="28"/>
  <c r="CL2836" i="28"/>
  <c r="CM2836" i="28"/>
  <c r="CN2836" i="28"/>
  <c r="CO2836" i="28"/>
  <c r="CP2836" i="28"/>
  <c r="CQ2836" i="28"/>
  <c r="CR2836" i="28"/>
  <c r="CS2836" i="28"/>
  <c r="CT2836" i="28"/>
  <c r="CU2836" i="28"/>
  <c r="CV2836" i="28"/>
  <c r="CW2836" i="28"/>
  <c r="CX2836" i="28"/>
  <c r="CY2836" i="28"/>
  <c r="CZ2836" i="28"/>
  <c r="DA2836" i="28"/>
  <c r="DB2836" i="28"/>
  <c r="DC2836" i="28"/>
  <c r="DD2836" i="28"/>
  <c r="DE2836" i="28"/>
  <c r="DF2836" i="28"/>
  <c r="DG2836" i="28"/>
  <c r="DH2836" i="28"/>
  <c r="DI2836" i="28"/>
  <c r="DJ2836" i="28"/>
  <c r="DK2836" i="28"/>
  <c r="DL2836" i="28"/>
  <c r="DM2836" i="28"/>
  <c r="DN2836" i="28"/>
  <c r="DO2836" i="28"/>
  <c r="DP2836" i="28"/>
  <c r="DQ2836" i="28"/>
  <c r="DR2836" i="28"/>
  <c r="DS2836" i="28"/>
  <c r="DT2836" i="28"/>
  <c r="DU2836" i="28"/>
  <c r="DV2836" i="28"/>
  <c r="DW2836" i="28"/>
  <c r="DX2836" i="28"/>
  <c r="DY2836" i="28"/>
  <c r="B2840" i="28"/>
  <c r="C2840" i="28"/>
  <c r="D2840" i="28"/>
  <c r="E2840" i="28"/>
  <c r="F2840" i="28"/>
  <c r="G2840" i="28"/>
  <c r="H2840" i="28"/>
  <c r="I2840" i="28"/>
  <c r="J2840" i="28"/>
  <c r="K2840" i="28"/>
  <c r="L2840" i="28"/>
  <c r="M2840" i="28"/>
  <c r="N2840" i="28"/>
  <c r="O2840" i="28"/>
  <c r="P2840" i="28"/>
  <c r="Q2840" i="28"/>
  <c r="R2840" i="28"/>
  <c r="S2840" i="28"/>
  <c r="T2840" i="28"/>
  <c r="U2840" i="28"/>
  <c r="V2840" i="28"/>
  <c r="W2840" i="28"/>
  <c r="X2840" i="28"/>
  <c r="Y2840" i="28"/>
  <c r="Z2840" i="28"/>
  <c r="AA2840" i="28"/>
  <c r="AB2840" i="28"/>
  <c r="AC2840" i="28"/>
  <c r="AD2840" i="28"/>
  <c r="AE2840" i="28"/>
  <c r="AF2840" i="28"/>
  <c r="AG2840" i="28"/>
  <c r="AH2840" i="28"/>
  <c r="AI2840" i="28"/>
  <c r="AJ2840" i="28"/>
  <c r="AK2840" i="28"/>
  <c r="AL2840" i="28"/>
  <c r="AM2840" i="28"/>
  <c r="AN2840" i="28"/>
  <c r="AO2840" i="28"/>
  <c r="AP2840" i="28"/>
  <c r="AQ2840" i="28"/>
  <c r="AR2840" i="28"/>
  <c r="AS2840" i="28"/>
  <c r="AT2840" i="28"/>
  <c r="AU2840" i="28"/>
  <c r="AV2840" i="28"/>
  <c r="AW2840" i="28"/>
  <c r="AX2840" i="28"/>
  <c r="AY2840" i="28"/>
  <c r="AZ2840" i="28"/>
  <c r="BA2840" i="28"/>
  <c r="BB2840" i="28"/>
  <c r="BC2840" i="28"/>
  <c r="BD2840" i="28"/>
  <c r="BE2840" i="28"/>
  <c r="BF2840" i="28"/>
  <c r="BG2840" i="28"/>
  <c r="BH2840" i="28"/>
  <c r="BI2840" i="28"/>
  <c r="BJ2840" i="28"/>
  <c r="BK2840" i="28"/>
  <c r="BL2840" i="28"/>
  <c r="BM2840" i="28"/>
  <c r="BN2840" i="28"/>
  <c r="BO2840" i="28"/>
  <c r="BP2840" i="28"/>
  <c r="BQ2840" i="28"/>
  <c r="BR2840" i="28"/>
  <c r="BS2840" i="28"/>
  <c r="BT2840" i="28"/>
  <c r="BU2840" i="28"/>
  <c r="BV2840" i="28"/>
  <c r="BW2840" i="28"/>
  <c r="BX2840" i="28"/>
  <c r="BY2840" i="28"/>
  <c r="BZ2840" i="28"/>
  <c r="CA2840" i="28"/>
  <c r="CB2840" i="28"/>
  <c r="CC2840" i="28"/>
  <c r="CD2840" i="28"/>
  <c r="CE2840" i="28"/>
  <c r="CF2840" i="28"/>
  <c r="CG2840" i="28"/>
  <c r="CH2840" i="28"/>
  <c r="CI2840" i="28"/>
  <c r="CJ2840" i="28"/>
  <c r="CK2840" i="28"/>
  <c r="CL2840" i="28"/>
  <c r="CM2840" i="28"/>
  <c r="CN2840" i="28"/>
  <c r="CO2840" i="28"/>
  <c r="CP2840" i="28"/>
  <c r="CQ2840" i="28"/>
  <c r="CR2840" i="28"/>
  <c r="CS2840" i="28"/>
  <c r="CT2840" i="28"/>
  <c r="CU2840" i="28"/>
  <c r="CV2840" i="28"/>
  <c r="CW2840" i="28"/>
  <c r="CX2840" i="28"/>
  <c r="CY2840" i="28"/>
  <c r="CZ2840" i="28"/>
  <c r="DA2840" i="28"/>
  <c r="DB2840" i="28"/>
  <c r="DC2840" i="28"/>
  <c r="DD2840" i="28"/>
  <c r="DE2840" i="28"/>
  <c r="DF2840" i="28"/>
  <c r="DG2840" i="28"/>
  <c r="DH2840" i="28"/>
  <c r="DI2840" i="28"/>
  <c r="DJ2840" i="28"/>
  <c r="DK2840" i="28"/>
  <c r="DL2840" i="28"/>
  <c r="DM2840" i="28"/>
  <c r="DN2840" i="28"/>
  <c r="DO2840" i="28"/>
  <c r="DP2840" i="28"/>
  <c r="DQ2840" i="28"/>
  <c r="DR2840" i="28"/>
  <c r="DS2840" i="28"/>
  <c r="DT2840" i="28"/>
  <c r="DU2840" i="28"/>
  <c r="DV2840" i="28"/>
  <c r="DW2840" i="28"/>
  <c r="DX2840" i="28"/>
  <c r="DY2840" i="28"/>
  <c r="B2845" i="28"/>
  <c r="C2845" i="28"/>
  <c r="D2845" i="28"/>
  <c r="E2845" i="28"/>
  <c r="F2845" i="28"/>
  <c r="G2845" i="28"/>
  <c r="H2845" i="28"/>
  <c r="I2845" i="28"/>
  <c r="J2845" i="28"/>
  <c r="K2845" i="28"/>
  <c r="L2845" i="28"/>
  <c r="M2845" i="28"/>
  <c r="N2845" i="28"/>
  <c r="O2845" i="28"/>
  <c r="P2845" i="28"/>
  <c r="Q2845" i="28"/>
  <c r="R2845" i="28"/>
  <c r="S2845" i="28"/>
  <c r="T2845" i="28"/>
  <c r="U2845" i="28"/>
  <c r="V2845" i="28"/>
  <c r="W2845" i="28"/>
  <c r="X2845" i="28"/>
  <c r="Y2845" i="28"/>
  <c r="Z2845" i="28"/>
  <c r="AA2845" i="28"/>
  <c r="AB2845" i="28"/>
  <c r="AC2845" i="28"/>
  <c r="AD2845" i="28"/>
  <c r="AE2845" i="28"/>
  <c r="AF2845" i="28"/>
  <c r="AG2845" i="28"/>
  <c r="AH2845" i="28"/>
  <c r="AI2845" i="28"/>
  <c r="AJ2845" i="28"/>
  <c r="AK2845" i="28"/>
  <c r="AL2845" i="28"/>
  <c r="AM2845" i="28"/>
  <c r="AN2845" i="28"/>
  <c r="AO2845" i="28"/>
  <c r="AP2845" i="28"/>
  <c r="AQ2845" i="28"/>
  <c r="AR2845" i="28"/>
  <c r="AS2845" i="28"/>
  <c r="AT2845" i="28"/>
  <c r="AU2845" i="28"/>
  <c r="AV2845" i="28"/>
  <c r="AW2845" i="28"/>
  <c r="AX2845" i="28"/>
  <c r="AY2845" i="28"/>
  <c r="AZ2845" i="28"/>
  <c r="BA2845" i="28"/>
  <c r="BB2845" i="28"/>
  <c r="BC2845" i="28"/>
  <c r="BD2845" i="28"/>
  <c r="BE2845" i="28"/>
  <c r="BF2845" i="28"/>
  <c r="BG2845" i="28"/>
  <c r="BH2845" i="28"/>
  <c r="BI2845" i="28"/>
  <c r="BJ2845" i="28"/>
  <c r="BK2845" i="28"/>
  <c r="BL2845" i="28"/>
  <c r="BM2845" i="28"/>
  <c r="BN2845" i="28"/>
  <c r="BO2845" i="28"/>
  <c r="BP2845" i="28"/>
  <c r="BQ2845" i="28"/>
  <c r="BR2845" i="28"/>
  <c r="BS2845" i="28"/>
  <c r="BT2845" i="28"/>
  <c r="BU2845" i="28"/>
  <c r="BV2845" i="28"/>
  <c r="BW2845" i="28"/>
  <c r="BX2845" i="28"/>
  <c r="BY2845" i="28"/>
  <c r="BZ2845" i="28"/>
  <c r="CA2845" i="28"/>
  <c r="CB2845" i="28"/>
  <c r="CC2845" i="28"/>
  <c r="CD2845" i="28"/>
  <c r="CE2845" i="28"/>
  <c r="CF2845" i="28"/>
  <c r="CG2845" i="28"/>
  <c r="CH2845" i="28"/>
  <c r="CI2845" i="28"/>
  <c r="CJ2845" i="28"/>
  <c r="CK2845" i="28"/>
  <c r="CL2845" i="28"/>
  <c r="CM2845" i="28"/>
  <c r="CN2845" i="28"/>
  <c r="CO2845" i="28"/>
  <c r="CP2845" i="28"/>
  <c r="CQ2845" i="28"/>
  <c r="CR2845" i="28"/>
  <c r="CS2845" i="28"/>
  <c r="CT2845" i="28"/>
  <c r="CU2845" i="28"/>
  <c r="CV2845" i="28"/>
  <c r="CW2845" i="28"/>
  <c r="CX2845" i="28"/>
  <c r="CY2845" i="28"/>
  <c r="CZ2845" i="28"/>
  <c r="DA2845" i="28"/>
  <c r="DB2845" i="28"/>
  <c r="DC2845" i="28"/>
  <c r="DD2845" i="28"/>
  <c r="DE2845" i="28"/>
  <c r="DF2845" i="28"/>
  <c r="DG2845" i="28"/>
  <c r="DH2845" i="28"/>
  <c r="DI2845" i="28"/>
  <c r="DJ2845" i="28"/>
  <c r="DK2845" i="28"/>
  <c r="DL2845" i="28"/>
  <c r="DM2845" i="28"/>
  <c r="DN2845" i="28"/>
  <c r="DO2845" i="28"/>
  <c r="DP2845" i="28"/>
  <c r="DQ2845" i="28"/>
  <c r="DR2845" i="28"/>
  <c r="DS2845" i="28"/>
  <c r="DT2845" i="28"/>
  <c r="DU2845" i="28"/>
  <c r="DV2845" i="28"/>
  <c r="DW2845" i="28"/>
  <c r="DX2845" i="28"/>
  <c r="DY2845" i="28"/>
  <c r="B2846" i="28"/>
  <c r="C2846" i="28"/>
  <c r="D2846" i="28"/>
  <c r="E2846" i="28"/>
  <c r="F2846" i="28"/>
  <c r="G2846" i="28"/>
  <c r="H2846" i="28"/>
  <c r="I2846" i="28"/>
  <c r="J2846" i="28"/>
  <c r="K2846" i="28"/>
  <c r="L2846" i="28"/>
  <c r="M2846" i="28"/>
  <c r="N2846" i="28"/>
  <c r="O2846" i="28"/>
  <c r="P2846" i="28"/>
  <c r="Q2846" i="28"/>
  <c r="R2846" i="28"/>
  <c r="S2846" i="28"/>
  <c r="T2846" i="28"/>
  <c r="U2846" i="28"/>
  <c r="V2846" i="28"/>
  <c r="W2846" i="28"/>
  <c r="X2846" i="28"/>
  <c r="Y2846" i="28"/>
  <c r="Z2846" i="28"/>
  <c r="AA2846" i="28"/>
  <c r="AB2846" i="28"/>
  <c r="AC2846" i="28"/>
  <c r="AD2846" i="28"/>
  <c r="AE2846" i="28"/>
  <c r="AF2846" i="28"/>
  <c r="AG2846" i="28"/>
  <c r="AH2846" i="28"/>
  <c r="AI2846" i="28"/>
  <c r="AJ2846" i="28"/>
  <c r="AK2846" i="28"/>
  <c r="AL2846" i="28"/>
  <c r="AM2846" i="28"/>
  <c r="AN2846" i="28"/>
  <c r="AO2846" i="28"/>
  <c r="AP2846" i="28"/>
  <c r="AQ2846" i="28"/>
  <c r="AR2846" i="28"/>
  <c r="AS2846" i="28"/>
  <c r="AT2846" i="28"/>
  <c r="AU2846" i="28"/>
  <c r="AV2846" i="28"/>
  <c r="AW2846" i="28"/>
  <c r="AX2846" i="28"/>
  <c r="AY2846" i="28"/>
  <c r="AZ2846" i="28"/>
  <c r="BA2846" i="28"/>
  <c r="BB2846" i="28"/>
  <c r="BC2846" i="28"/>
  <c r="BD2846" i="28"/>
  <c r="BE2846" i="28"/>
  <c r="BF2846" i="28"/>
  <c r="BG2846" i="28"/>
  <c r="BH2846" i="28"/>
  <c r="BI2846" i="28"/>
  <c r="BJ2846" i="28"/>
  <c r="BK2846" i="28"/>
  <c r="BL2846" i="28"/>
  <c r="BM2846" i="28"/>
  <c r="BN2846" i="28"/>
  <c r="BO2846" i="28"/>
  <c r="BP2846" i="28"/>
  <c r="BQ2846" i="28"/>
  <c r="BR2846" i="28"/>
  <c r="BS2846" i="28"/>
  <c r="BT2846" i="28"/>
  <c r="BU2846" i="28"/>
  <c r="BV2846" i="28"/>
  <c r="BW2846" i="28"/>
  <c r="BX2846" i="28"/>
  <c r="BY2846" i="28"/>
  <c r="BZ2846" i="28"/>
  <c r="CA2846" i="28"/>
  <c r="CB2846" i="28"/>
  <c r="CC2846" i="28"/>
  <c r="CD2846" i="28"/>
  <c r="CE2846" i="28"/>
  <c r="CF2846" i="28"/>
  <c r="CG2846" i="28"/>
  <c r="CH2846" i="28"/>
  <c r="CI2846" i="28"/>
  <c r="CJ2846" i="28"/>
  <c r="CK2846" i="28"/>
  <c r="CL2846" i="28"/>
  <c r="CM2846" i="28"/>
  <c r="CN2846" i="28"/>
  <c r="CO2846" i="28"/>
  <c r="CP2846" i="28"/>
  <c r="CQ2846" i="28"/>
  <c r="CR2846" i="28"/>
  <c r="CS2846" i="28"/>
  <c r="CT2846" i="28"/>
  <c r="CU2846" i="28"/>
  <c r="CV2846" i="28"/>
  <c r="CW2846" i="28"/>
  <c r="CX2846" i="28"/>
  <c r="CY2846" i="28"/>
  <c r="CZ2846" i="28"/>
  <c r="DA2846" i="28"/>
  <c r="DB2846" i="28"/>
  <c r="DC2846" i="28"/>
  <c r="DD2846" i="28"/>
  <c r="DE2846" i="28"/>
  <c r="DF2846" i="28"/>
  <c r="DG2846" i="28"/>
  <c r="DH2846" i="28"/>
  <c r="DI2846" i="28"/>
  <c r="DJ2846" i="28"/>
  <c r="DK2846" i="28"/>
  <c r="DL2846" i="28"/>
  <c r="DM2846" i="28"/>
  <c r="DN2846" i="28"/>
  <c r="DO2846" i="28"/>
  <c r="DP2846" i="28"/>
  <c r="DQ2846" i="28"/>
  <c r="DR2846" i="28"/>
  <c r="DS2846" i="28"/>
  <c r="DT2846" i="28"/>
  <c r="DU2846" i="28"/>
  <c r="DV2846" i="28"/>
  <c r="DW2846" i="28"/>
  <c r="DX2846" i="28"/>
  <c r="DY2846" i="28"/>
  <c r="B2848" i="28"/>
  <c r="C2848" i="28"/>
  <c r="D2848" i="28"/>
  <c r="E2848" i="28"/>
  <c r="F2848" i="28"/>
  <c r="G2848" i="28"/>
  <c r="H2848" i="28"/>
  <c r="I2848" i="28"/>
  <c r="J2848" i="28"/>
  <c r="K2848" i="28"/>
  <c r="L2848" i="28"/>
  <c r="M2848" i="28"/>
  <c r="N2848" i="28"/>
  <c r="O2848" i="28"/>
  <c r="P2848" i="28"/>
  <c r="Q2848" i="28"/>
  <c r="R2848" i="28"/>
  <c r="S2848" i="28"/>
  <c r="T2848" i="28"/>
  <c r="U2848" i="28"/>
  <c r="V2848" i="28"/>
  <c r="W2848" i="28"/>
  <c r="X2848" i="28"/>
  <c r="Y2848" i="28"/>
  <c r="Z2848" i="28"/>
  <c r="AA2848" i="28"/>
  <c r="AB2848" i="28"/>
  <c r="AC2848" i="28"/>
  <c r="AD2848" i="28"/>
  <c r="AE2848" i="28"/>
  <c r="AF2848" i="28"/>
  <c r="AG2848" i="28"/>
  <c r="AH2848" i="28"/>
  <c r="AI2848" i="28"/>
  <c r="AJ2848" i="28"/>
  <c r="AK2848" i="28"/>
  <c r="AL2848" i="28"/>
  <c r="AM2848" i="28"/>
  <c r="AN2848" i="28"/>
  <c r="AO2848" i="28"/>
  <c r="AP2848" i="28"/>
  <c r="AQ2848" i="28"/>
  <c r="AR2848" i="28"/>
  <c r="AS2848" i="28"/>
  <c r="AT2848" i="28"/>
  <c r="AU2848" i="28"/>
  <c r="AV2848" i="28"/>
  <c r="AW2848" i="28"/>
  <c r="AX2848" i="28"/>
  <c r="AY2848" i="28"/>
  <c r="AZ2848" i="28"/>
  <c r="BA2848" i="28"/>
  <c r="BB2848" i="28"/>
  <c r="BC2848" i="28"/>
  <c r="BD2848" i="28"/>
  <c r="BE2848" i="28"/>
  <c r="BF2848" i="28"/>
  <c r="BG2848" i="28"/>
  <c r="BH2848" i="28"/>
  <c r="BI2848" i="28"/>
  <c r="BJ2848" i="28"/>
  <c r="BK2848" i="28"/>
  <c r="BL2848" i="28"/>
  <c r="BM2848" i="28"/>
  <c r="BN2848" i="28"/>
  <c r="BO2848" i="28"/>
  <c r="BP2848" i="28"/>
  <c r="BQ2848" i="28"/>
  <c r="BR2848" i="28"/>
  <c r="BS2848" i="28"/>
  <c r="BT2848" i="28"/>
  <c r="BU2848" i="28"/>
  <c r="BV2848" i="28"/>
  <c r="BW2848" i="28"/>
  <c r="BX2848" i="28"/>
  <c r="BY2848" i="28"/>
  <c r="BZ2848" i="28"/>
  <c r="CA2848" i="28"/>
  <c r="CB2848" i="28"/>
  <c r="CC2848" i="28"/>
  <c r="CD2848" i="28"/>
  <c r="CE2848" i="28"/>
  <c r="CF2848" i="28"/>
  <c r="CG2848" i="28"/>
  <c r="CH2848" i="28"/>
  <c r="CI2848" i="28"/>
  <c r="CJ2848" i="28"/>
  <c r="CK2848" i="28"/>
  <c r="CL2848" i="28"/>
  <c r="CM2848" i="28"/>
  <c r="CN2848" i="28"/>
  <c r="CO2848" i="28"/>
  <c r="CP2848" i="28"/>
  <c r="CQ2848" i="28"/>
  <c r="CR2848" i="28"/>
  <c r="CS2848" i="28"/>
  <c r="CT2848" i="28"/>
  <c r="CU2848" i="28"/>
  <c r="CV2848" i="28"/>
  <c r="CW2848" i="28"/>
  <c r="CX2848" i="28"/>
  <c r="CY2848" i="28"/>
  <c r="CZ2848" i="28"/>
  <c r="DA2848" i="28"/>
  <c r="DB2848" i="28"/>
  <c r="DC2848" i="28"/>
  <c r="DD2848" i="28"/>
  <c r="DE2848" i="28"/>
  <c r="DF2848" i="28"/>
  <c r="DG2848" i="28"/>
  <c r="DH2848" i="28"/>
  <c r="DI2848" i="28"/>
  <c r="DJ2848" i="28"/>
  <c r="DK2848" i="28"/>
  <c r="DL2848" i="28"/>
  <c r="DM2848" i="28"/>
  <c r="DN2848" i="28"/>
  <c r="DO2848" i="28"/>
  <c r="DP2848" i="28"/>
  <c r="DQ2848" i="28"/>
  <c r="DR2848" i="28"/>
  <c r="DS2848" i="28"/>
  <c r="DT2848" i="28"/>
  <c r="DU2848" i="28"/>
  <c r="DV2848" i="28"/>
  <c r="DW2848" i="28"/>
  <c r="DX2848" i="28"/>
  <c r="DY2848" i="28"/>
  <c r="B2850" i="28"/>
  <c r="C2850" i="28"/>
  <c r="D2850" i="28"/>
  <c r="E2850" i="28"/>
  <c r="F2850" i="28"/>
  <c r="G2850" i="28"/>
  <c r="H2850" i="28"/>
  <c r="I2850" i="28"/>
  <c r="J2850" i="28"/>
  <c r="K2850" i="28"/>
  <c r="L2850" i="28"/>
  <c r="M2850" i="28"/>
  <c r="N2850" i="28"/>
  <c r="O2850" i="28"/>
  <c r="P2850" i="28"/>
  <c r="Q2850" i="28"/>
  <c r="R2850" i="28"/>
  <c r="S2850" i="28"/>
  <c r="T2850" i="28"/>
  <c r="U2850" i="28"/>
  <c r="V2850" i="28"/>
  <c r="W2850" i="28"/>
  <c r="X2850" i="28"/>
  <c r="Y2850" i="28"/>
  <c r="Z2850" i="28"/>
  <c r="AA2850" i="28"/>
  <c r="AB2850" i="28"/>
  <c r="AC2850" i="28"/>
  <c r="AD2850" i="28"/>
  <c r="AE2850" i="28"/>
  <c r="AF2850" i="28"/>
  <c r="AG2850" i="28"/>
  <c r="AH2850" i="28"/>
  <c r="AI2850" i="28"/>
  <c r="AJ2850" i="28"/>
  <c r="AK2850" i="28"/>
  <c r="AL2850" i="28"/>
  <c r="AM2850" i="28"/>
  <c r="AN2850" i="28"/>
  <c r="AO2850" i="28"/>
  <c r="AP2850" i="28"/>
  <c r="AQ2850" i="28"/>
  <c r="AR2850" i="28"/>
  <c r="AS2850" i="28"/>
  <c r="AT2850" i="28"/>
  <c r="AU2850" i="28"/>
  <c r="AV2850" i="28"/>
  <c r="AW2850" i="28"/>
  <c r="AX2850" i="28"/>
  <c r="AY2850" i="28"/>
  <c r="AZ2850" i="28"/>
  <c r="BA2850" i="28"/>
  <c r="BB2850" i="28"/>
  <c r="BC2850" i="28"/>
  <c r="BD2850" i="28"/>
  <c r="BE2850" i="28"/>
  <c r="BF2850" i="28"/>
  <c r="BG2850" i="28"/>
  <c r="BH2850" i="28"/>
  <c r="BI2850" i="28"/>
  <c r="BJ2850" i="28"/>
  <c r="BK2850" i="28"/>
  <c r="BL2850" i="28"/>
  <c r="BM2850" i="28"/>
  <c r="BN2850" i="28"/>
  <c r="BO2850" i="28"/>
  <c r="BP2850" i="28"/>
  <c r="BQ2850" i="28"/>
  <c r="BR2850" i="28"/>
  <c r="BS2850" i="28"/>
  <c r="BT2850" i="28"/>
  <c r="BU2850" i="28"/>
  <c r="BV2850" i="28"/>
  <c r="BW2850" i="28"/>
  <c r="BX2850" i="28"/>
  <c r="BY2850" i="28"/>
  <c r="BZ2850" i="28"/>
  <c r="CA2850" i="28"/>
  <c r="CB2850" i="28"/>
  <c r="CC2850" i="28"/>
  <c r="CD2850" i="28"/>
  <c r="CE2850" i="28"/>
  <c r="CF2850" i="28"/>
  <c r="CG2850" i="28"/>
  <c r="CH2850" i="28"/>
  <c r="CI2850" i="28"/>
  <c r="CJ2850" i="28"/>
  <c r="CK2850" i="28"/>
  <c r="CL2850" i="28"/>
  <c r="CM2850" i="28"/>
  <c r="CN2850" i="28"/>
  <c r="CO2850" i="28"/>
  <c r="CP2850" i="28"/>
  <c r="CQ2850" i="28"/>
  <c r="CR2850" i="28"/>
  <c r="CS2850" i="28"/>
  <c r="CT2850" i="28"/>
  <c r="CU2850" i="28"/>
  <c r="CV2850" i="28"/>
  <c r="CW2850" i="28"/>
  <c r="CX2850" i="28"/>
  <c r="CY2850" i="28"/>
  <c r="CZ2850" i="28"/>
  <c r="DA2850" i="28"/>
  <c r="DB2850" i="28"/>
  <c r="DC2850" i="28"/>
  <c r="DD2850" i="28"/>
  <c r="DE2850" i="28"/>
  <c r="DF2850" i="28"/>
  <c r="DG2850" i="28"/>
  <c r="DH2850" i="28"/>
  <c r="DI2850" i="28"/>
  <c r="DJ2850" i="28"/>
  <c r="DK2850" i="28"/>
  <c r="DL2850" i="28"/>
  <c r="DM2850" i="28"/>
  <c r="DN2850" i="28"/>
  <c r="DO2850" i="28"/>
  <c r="DP2850" i="28"/>
  <c r="DQ2850" i="28"/>
  <c r="DR2850" i="28"/>
  <c r="DS2850" i="28"/>
  <c r="DT2850" i="28"/>
  <c r="DU2850" i="28"/>
  <c r="DV2850" i="28"/>
  <c r="DW2850" i="28"/>
  <c r="DX2850" i="28"/>
  <c r="DY2850" i="28"/>
  <c r="B2851" i="28"/>
  <c r="C2851" i="28"/>
  <c r="D2851" i="28"/>
  <c r="E2851" i="28"/>
  <c r="F2851" i="28"/>
  <c r="G2851" i="28"/>
  <c r="H2851" i="28"/>
  <c r="I2851" i="28"/>
  <c r="J2851" i="28"/>
  <c r="K2851" i="28"/>
  <c r="L2851" i="28"/>
  <c r="M2851" i="28"/>
  <c r="N2851" i="28"/>
  <c r="O2851" i="28"/>
  <c r="P2851" i="28"/>
  <c r="Q2851" i="28"/>
  <c r="R2851" i="28"/>
  <c r="S2851" i="28"/>
  <c r="T2851" i="28"/>
  <c r="U2851" i="28"/>
  <c r="V2851" i="28"/>
  <c r="W2851" i="28"/>
  <c r="X2851" i="28"/>
  <c r="Y2851" i="28"/>
  <c r="Z2851" i="28"/>
  <c r="AA2851" i="28"/>
  <c r="AB2851" i="28"/>
  <c r="AC2851" i="28"/>
  <c r="AD2851" i="28"/>
  <c r="AE2851" i="28"/>
  <c r="AF2851" i="28"/>
  <c r="AG2851" i="28"/>
  <c r="AH2851" i="28"/>
  <c r="AI2851" i="28"/>
  <c r="AJ2851" i="28"/>
  <c r="AK2851" i="28"/>
  <c r="AL2851" i="28"/>
  <c r="AM2851" i="28"/>
  <c r="AN2851" i="28"/>
  <c r="AO2851" i="28"/>
  <c r="AP2851" i="28"/>
  <c r="AQ2851" i="28"/>
  <c r="AR2851" i="28"/>
  <c r="AS2851" i="28"/>
  <c r="AT2851" i="28"/>
  <c r="AU2851" i="28"/>
  <c r="AV2851" i="28"/>
  <c r="AW2851" i="28"/>
  <c r="AX2851" i="28"/>
  <c r="AY2851" i="28"/>
  <c r="AZ2851" i="28"/>
  <c r="BA2851" i="28"/>
  <c r="BB2851" i="28"/>
  <c r="BC2851" i="28"/>
  <c r="BD2851" i="28"/>
  <c r="BE2851" i="28"/>
  <c r="BF2851" i="28"/>
  <c r="BG2851" i="28"/>
  <c r="BH2851" i="28"/>
  <c r="BI2851" i="28"/>
  <c r="BJ2851" i="28"/>
  <c r="BK2851" i="28"/>
  <c r="BL2851" i="28"/>
  <c r="BM2851" i="28"/>
  <c r="BN2851" i="28"/>
  <c r="BO2851" i="28"/>
  <c r="BP2851" i="28"/>
  <c r="BQ2851" i="28"/>
  <c r="BR2851" i="28"/>
  <c r="BS2851" i="28"/>
  <c r="BT2851" i="28"/>
  <c r="BU2851" i="28"/>
  <c r="BV2851" i="28"/>
  <c r="BW2851" i="28"/>
  <c r="BX2851" i="28"/>
  <c r="BY2851" i="28"/>
  <c r="BZ2851" i="28"/>
  <c r="CA2851" i="28"/>
  <c r="CB2851" i="28"/>
  <c r="CC2851" i="28"/>
  <c r="CD2851" i="28"/>
  <c r="CE2851" i="28"/>
  <c r="CF2851" i="28"/>
  <c r="CG2851" i="28"/>
  <c r="CH2851" i="28"/>
  <c r="CI2851" i="28"/>
  <c r="CJ2851" i="28"/>
  <c r="CK2851" i="28"/>
  <c r="CL2851" i="28"/>
  <c r="CM2851" i="28"/>
  <c r="CN2851" i="28"/>
  <c r="CO2851" i="28"/>
  <c r="CP2851" i="28"/>
  <c r="CQ2851" i="28"/>
  <c r="CR2851" i="28"/>
  <c r="CS2851" i="28"/>
  <c r="CT2851" i="28"/>
  <c r="CU2851" i="28"/>
  <c r="CV2851" i="28"/>
  <c r="CW2851" i="28"/>
  <c r="CX2851" i="28"/>
  <c r="CY2851" i="28"/>
  <c r="CZ2851" i="28"/>
  <c r="DA2851" i="28"/>
  <c r="DB2851" i="28"/>
  <c r="DC2851" i="28"/>
  <c r="DD2851" i="28"/>
  <c r="DE2851" i="28"/>
  <c r="DF2851" i="28"/>
  <c r="DG2851" i="28"/>
  <c r="DH2851" i="28"/>
  <c r="DI2851" i="28"/>
  <c r="DJ2851" i="28"/>
  <c r="DK2851" i="28"/>
  <c r="DL2851" i="28"/>
  <c r="DM2851" i="28"/>
  <c r="DN2851" i="28"/>
  <c r="DO2851" i="28"/>
  <c r="DP2851" i="28"/>
  <c r="DQ2851" i="28"/>
  <c r="DR2851" i="28"/>
  <c r="DS2851" i="28"/>
  <c r="DT2851" i="28"/>
  <c r="DU2851" i="28"/>
  <c r="DV2851" i="28"/>
  <c r="DW2851" i="28"/>
  <c r="DX2851" i="28"/>
  <c r="DY2851" i="28"/>
  <c r="B2855" i="28"/>
  <c r="C2855" i="28"/>
  <c r="D2855" i="28"/>
  <c r="E2855" i="28"/>
  <c r="F2855" i="28"/>
  <c r="G2855" i="28"/>
  <c r="H2855" i="28"/>
  <c r="I2855" i="28"/>
  <c r="J2855" i="28"/>
  <c r="K2855" i="28"/>
  <c r="L2855" i="28"/>
  <c r="M2855" i="28"/>
  <c r="N2855" i="28"/>
  <c r="O2855" i="28"/>
  <c r="P2855" i="28"/>
  <c r="Q2855" i="28"/>
  <c r="B2856" i="28"/>
  <c r="C2856" i="28"/>
  <c r="D2856" i="28"/>
  <c r="E2856" i="28"/>
  <c r="F2856" i="28"/>
  <c r="G2856" i="28"/>
  <c r="H2856" i="28"/>
  <c r="I2856" i="28"/>
  <c r="J2856" i="28"/>
  <c r="K2856" i="28"/>
  <c r="L2856" i="28"/>
  <c r="M2856" i="28"/>
  <c r="N2856" i="28"/>
  <c r="O2856" i="28"/>
  <c r="P2856" i="28"/>
  <c r="Q2856" i="28"/>
  <c r="B2863" i="28"/>
  <c r="C2863" i="28"/>
  <c r="D2863" i="28"/>
  <c r="E2863" i="28"/>
  <c r="F2863" i="28"/>
  <c r="G2863" i="28"/>
  <c r="H2863" i="28"/>
  <c r="I2863" i="28"/>
  <c r="J2863" i="28"/>
  <c r="K2863" i="28"/>
  <c r="L2863" i="28"/>
  <c r="M2863" i="28"/>
  <c r="N2863" i="28"/>
  <c r="O2863" i="28"/>
  <c r="P2863" i="28"/>
  <c r="Q2863" i="28"/>
  <c r="B2864" i="28"/>
  <c r="C2864" i="28"/>
  <c r="D2864" i="28"/>
  <c r="E2864" i="28"/>
  <c r="F2864" i="28"/>
  <c r="G2864" i="28"/>
  <c r="H2864" i="28"/>
  <c r="I2864" i="28"/>
  <c r="J2864" i="28"/>
  <c r="K2864" i="28"/>
  <c r="L2864" i="28"/>
  <c r="M2864" i="28"/>
  <c r="N2864" i="28"/>
  <c r="O2864" i="28"/>
  <c r="P2864" i="28"/>
  <c r="Q2864" i="28"/>
  <c r="B2867" i="28"/>
  <c r="C2867" i="28"/>
  <c r="D2867" i="28"/>
  <c r="E2867" i="28"/>
  <c r="F2867" i="28"/>
  <c r="G2867" i="28"/>
  <c r="H2867" i="28"/>
  <c r="I2867" i="28"/>
  <c r="J2867" i="28"/>
  <c r="K2867" i="28"/>
  <c r="L2867" i="28"/>
  <c r="M2867" i="28"/>
  <c r="N2867" i="28"/>
  <c r="O2867" i="28"/>
  <c r="P2867" i="28"/>
  <c r="Q2867" i="28"/>
  <c r="B2870" i="28"/>
  <c r="C2870" i="28"/>
  <c r="D2870" i="28"/>
  <c r="E2870" i="28"/>
  <c r="F2870" i="28"/>
  <c r="G2870" i="28"/>
  <c r="H2870" i="28"/>
  <c r="I2870" i="28"/>
  <c r="J2870" i="28"/>
  <c r="K2870" i="28"/>
  <c r="L2870" i="28"/>
  <c r="M2870" i="28"/>
  <c r="N2870" i="28"/>
  <c r="O2870" i="28"/>
  <c r="P2870" i="28"/>
  <c r="Q2870" i="28"/>
  <c r="B2871" i="28"/>
  <c r="C2871" i="28"/>
  <c r="D2871" i="28"/>
  <c r="E2871" i="28"/>
  <c r="F2871" i="28"/>
  <c r="G2871" i="28"/>
  <c r="H2871" i="28"/>
  <c r="I2871" i="28"/>
  <c r="J2871" i="28"/>
  <c r="K2871" i="28"/>
  <c r="L2871" i="28"/>
  <c r="M2871" i="28"/>
  <c r="N2871" i="28"/>
  <c r="O2871" i="28"/>
  <c r="P2871" i="28"/>
  <c r="Q2871" i="28"/>
  <c r="B2873" i="28"/>
  <c r="C2873" i="28"/>
  <c r="D2873" i="28"/>
  <c r="E2873" i="28"/>
  <c r="F2873" i="28"/>
  <c r="G2873" i="28"/>
  <c r="H2873" i="28"/>
  <c r="I2873" i="28"/>
  <c r="J2873" i="28"/>
  <c r="K2873" i="28"/>
  <c r="L2873" i="28"/>
  <c r="M2873" i="28"/>
  <c r="N2873" i="28"/>
  <c r="O2873" i="28"/>
  <c r="P2873" i="28"/>
  <c r="Q2873" i="28"/>
  <c r="B2874" i="28"/>
  <c r="C2874" i="28"/>
  <c r="D2874" i="28"/>
  <c r="E2874" i="28"/>
  <c r="F2874" i="28"/>
  <c r="G2874" i="28"/>
  <c r="H2874" i="28"/>
  <c r="I2874" i="28"/>
  <c r="J2874" i="28"/>
  <c r="K2874" i="28"/>
  <c r="L2874" i="28"/>
  <c r="M2874" i="28"/>
  <c r="N2874" i="28"/>
  <c r="O2874" i="28"/>
  <c r="P2874" i="28"/>
  <c r="Q2874" i="28"/>
  <c r="B2877" i="28"/>
  <c r="C2877" i="28"/>
  <c r="D2877" i="28"/>
  <c r="E2877" i="28"/>
  <c r="F2877" i="28"/>
  <c r="G2877" i="28"/>
  <c r="H2877" i="28"/>
  <c r="I2877" i="28"/>
  <c r="J2877" i="28"/>
  <c r="K2877" i="28"/>
  <c r="L2877" i="28"/>
  <c r="M2877" i="28"/>
  <c r="N2877" i="28"/>
  <c r="O2877" i="28"/>
  <c r="P2877" i="28"/>
  <c r="Q2877" i="28"/>
  <c r="B2878" i="28"/>
  <c r="C2878" i="28"/>
  <c r="D2878" i="28"/>
  <c r="E2878" i="28"/>
  <c r="F2878" i="28"/>
  <c r="G2878" i="28"/>
  <c r="H2878" i="28"/>
  <c r="I2878" i="28"/>
  <c r="J2878" i="28"/>
  <c r="K2878" i="28"/>
  <c r="L2878" i="28"/>
  <c r="M2878" i="28"/>
  <c r="N2878" i="28"/>
  <c r="O2878" i="28"/>
  <c r="P2878" i="28"/>
  <c r="Q2878" i="28"/>
  <c r="B2879" i="28"/>
  <c r="C2879" i="28"/>
  <c r="D2879" i="28"/>
  <c r="E2879" i="28"/>
  <c r="F2879" i="28"/>
  <c r="G2879" i="28"/>
  <c r="H2879" i="28"/>
  <c r="I2879" i="28"/>
  <c r="J2879" i="28"/>
  <c r="K2879" i="28"/>
  <c r="L2879" i="28"/>
  <c r="M2879" i="28"/>
  <c r="N2879" i="28"/>
  <c r="O2879" i="28"/>
  <c r="P2879" i="28"/>
  <c r="Q2879" i="28"/>
  <c r="B2883" i="28"/>
  <c r="C2883" i="28"/>
  <c r="D2883" i="28"/>
  <c r="E2883" i="28"/>
  <c r="F2883" i="28"/>
  <c r="G2883" i="28"/>
  <c r="H2883" i="28"/>
  <c r="I2883" i="28"/>
  <c r="J2883" i="28"/>
  <c r="K2883" i="28"/>
  <c r="L2883" i="28"/>
  <c r="M2883" i="28"/>
  <c r="N2883" i="28"/>
  <c r="O2883" i="28"/>
  <c r="P2883" i="28"/>
  <c r="Q2883" i="28"/>
  <c r="B2884" i="28"/>
  <c r="C2884" i="28"/>
  <c r="D2884" i="28"/>
  <c r="E2884" i="28"/>
  <c r="F2884" i="28"/>
  <c r="G2884" i="28"/>
  <c r="H2884" i="28"/>
  <c r="I2884" i="28"/>
  <c r="J2884" i="28"/>
  <c r="K2884" i="28"/>
  <c r="L2884" i="28"/>
  <c r="M2884" i="28"/>
  <c r="N2884" i="28"/>
  <c r="O2884" i="28"/>
  <c r="P2884" i="28"/>
  <c r="Q2884" i="28"/>
  <c r="B2891" i="28"/>
  <c r="C2891" i="28"/>
  <c r="D2891" i="28"/>
  <c r="E2891" i="28"/>
  <c r="F2891" i="28"/>
  <c r="G2891" i="28"/>
  <c r="H2891" i="28"/>
  <c r="I2891" i="28"/>
  <c r="J2891" i="28"/>
  <c r="K2891" i="28"/>
  <c r="L2891" i="28"/>
  <c r="M2891" i="28"/>
  <c r="N2891" i="28"/>
  <c r="O2891" i="28"/>
  <c r="P2891" i="28"/>
  <c r="Q2891" i="28"/>
  <c r="B2892" i="28"/>
  <c r="C2892" i="28"/>
  <c r="D2892" i="28"/>
  <c r="E2892" i="28"/>
  <c r="F2892" i="28"/>
  <c r="G2892" i="28"/>
  <c r="H2892" i="28"/>
  <c r="I2892" i="28"/>
  <c r="J2892" i="28"/>
  <c r="K2892" i="28"/>
  <c r="L2892" i="28"/>
  <c r="M2892" i="28"/>
  <c r="N2892" i="28"/>
  <c r="O2892" i="28"/>
  <c r="P2892" i="28"/>
  <c r="Q2892" i="28"/>
  <c r="B2895" i="28"/>
  <c r="C2895" i="28"/>
  <c r="D2895" i="28"/>
  <c r="E2895" i="28"/>
  <c r="F2895" i="28"/>
  <c r="G2895" i="28"/>
  <c r="H2895" i="28"/>
  <c r="I2895" i="28"/>
  <c r="J2895" i="28"/>
  <c r="K2895" i="28"/>
  <c r="L2895" i="28"/>
  <c r="M2895" i="28"/>
  <c r="N2895" i="28"/>
  <c r="O2895" i="28"/>
  <c r="P2895" i="28"/>
  <c r="Q2895" i="28"/>
  <c r="B2898" i="28"/>
  <c r="C2898" i="28"/>
  <c r="D2898" i="28"/>
  <c r="E2898" i="28"/>
  <c r="F2898" i="28"/>
  <c r="G2898" i="28"/>
  <c r="H2898" i="28"/>
  <c r="I2898" i="28"/>
  <c r="J2898" i="28"/>
  <c r="K2898" i="28"/>
  <c r="L2898" i="28"/>
  <c r="M2898" i="28"/>
  <c r="N2898" i="28"/>
  <c r="O2898" i="28"/>
  <c r="P2898" i="28"/>
  <c r="Q2898" i="28"/>
  <c r="B2899" i="28"/>
  <c r="C2899" i="28"/>
  <c r="D2899" i="28"/>
  <c r="E2899" i="28"/>
  <c r="F2899" i="28"/>
  <c r="G2899" i="28"/>
  <c r="H2899" i="28"/>
  <c r="I2899" i="28"/>
  <c r="J2899" i="28"/>
  <c r="K2899" i="28"/>
  <c r="L2899" i="28"/>
  <c r="M2899" i="28"/>
  <c r="N2899" i="28"/>
  <c r="O2899" i="28"/>
  <c r="P2899" i="28"/>
  <c r="Q2899" i="28"/>
  <c r="B2901" i="28"/>
  <c r="C2901" i="28"/>
  <c r="D2901" i="28"/>
  <c r="E2901" i="28"/>
  <c r="F2901" i="28"/>
  <c r="G2901" i="28"/>
  <c r="H2901" i="28"/>
  <c r="I2901" i="28"/>
  <c r="J2901" i="28"/>
  <c r="K2901" i="28"/>
  <c r="L2901" i="28"/>
  <c r="M2901" i="28"/>
  <c r="N2901" i="28"/>
  <c r="O2901" i="28"/>
  <c r="P2901" i="28"/>
  <c r="Q2901" i="28"/>
  <c r="B2902" i="28"/>
  <c r="C2902" i="28"/>
  <c r="D2902" i="28"/>
  <c r="E2902" i="28"/>
  <c r="F2902" i="28"/>
  <c r="G2902" i="28"/>
  <c r="H2902" i="28"/>
  <c r="I2902" i="28"/>
  <c r="J2902" i="28"/>
  <c r="K2902" i="28"/>
  <c r="L2902" i="28"/>
  <c r="M2902" i="28"/>
  <c r="N2902" i="28"/>
  <c r="O2902" i="28"/>
  <c r="P2902" i="28"/>
  <c r="Q2902" i="28"/>
  <c r="B2905" i="28"/>
  <c r="C2905" i="28"/>
  <c r="D2905" i="28"/>
  <c r="E2905" i="28"/>
  <c r="F2905" i="28"/>
  <c r="G2905" i="28"/>
  <c r="H2905" i="28"/>
  <c r="I2905" i="28"/>
  <c r="J2905" i="28"/>
  <c r="K2905" i="28"/>
  <c r="L2905" i="28"/>
  <c r="M2905" i="28"/>
  <c r="N2905" i="28"/>
  <c r="O2905" i="28"/>
  <c r="P2905" i="28"/>
  <c r="Q2905" i="28"/>
  <c r="B2906" i="28"/>
  <c r="C2906" i="28"/>
  <c r="D2906" i="28"/>
  <c r="E2906" i="28"/>
  <c r="F2906" i="28"/>
  <c r="G2906" i="28"/>
  <c r="H2906" i="28"/>
  <c r="I2906" i="28"/>
  <c r="J2906" i="28"/>
  <c r="K2906" i="28"/>
  <c r="L2906" i="28"/>
  <c r="M2906" i="28"/>
  <c r="N2906" i="28"/>
  <c r="O2906" i="28"/>
  <c r="P2906" i="28"/>
  <c r="Q2906" i="28"/>
  <c r="B2907" i="28"/>
  <c r="C2907" i="28"/>
  <c r="D2907" i="28"/>
  <c r="E2907" i="28"/>
  <c r="F2907" i="28"/>
  <c r="G2907" i="28"/>
  <c r="H2907" i="28"/>
  <c r="I2907" i="28"/>
  <c r="J2907" i="28"/>
  <c r="K2907" i="28"/>
  <c r="L2907" i="28"/>
  <c r="M2907" i="28"/>
  <c r="N2907" i="28"/>
  <c r="O2907" i="28"/>
  <c r="P2907" i="28"/>
  <c r="Q2907" i="28"/>
  <c r="B2911" i="28"/>
  <c r="C2911" i="28"/>
  <c r="D2911" i="28"/>
  <c r="E2911" i="28"/>
  <c r="F2911" i="28"/>
  <c r="G2911" i="28"/>
  <c r="H2911" i="28"/>
  <c r="I2911" i="28"/>
  <c r="J2911" i="28"/>
  <c r="K2911" i="28"/>
  <c r="L2911" i="28"/>
  <c r="M2911" i="28"/>
  <c r="N2911" i="28"/>
  <c r="O2911" i="28"/>
  <c r="P2911" i="28"/>
  <c r="Q2911" i="28"/>
  <c r="B2912" i="28"/>
  <c r="C2912" i="28"/>
  <c r="D2912" i="28"/>
  <c r="E2912" i="28"/>
  <c r="F2912" i="28"/>
  <c r="G2912" i="28"/>
  <c r="H2912" i="28"/>
  <c r="I2912" i="28"/>
  <c r="J2912" i="28"/>
  <c r="K2912" i="28"/>
  <c r="L2912" i="28"/>
  <c r="M2912" i="28"/>
  <c r="N2912" i="28"/>
  <c r="O2912" i="28"/>
  <c r="P2912" i="28"/>
  <c r="Q2912" i="28"/>
  <c r="B2919" i="28"/>
  <c r="C2919" i="28"/>
  <c r="D2919" i="28"/>
  <c r="E2919" i="28"/>
  <c r="F2919" i="28"/>
  <c r="G2919" i="28"/>
  <c r="H2919" i="28"/>
  <c r="I2919" i="28"/>
  <c r="J2919" i="28"/>
  <c r="K2919" i="28"/>
  <c r="L2919" i="28"/>
  <c r="M2919" i="28"/>
  <c r="N2919" i="28"/>
  <c r="O2919" i="28"/>
  <c r="P2919" i="28"/>
  <c r="Q2919" i="28"/>
  <c r="B2920" i="28"/>
  <c r="C2920" i="28"/>
  <c r="D2920" i="28"/>
  <c r="E2920" i="28"/>
  <c r="F2920" i="28"/>
  <c r="G2920" i="28"/>
  <c r="H2920" i="28"/>
  <c r="I2920" i="28"/>
  <c r="J2920" i="28"/>
  <c r="K2920" i="28"/>
  <c r="L2920" i="28"/>
  <c r="M2920" i="28"/>
  <c r="N2920" i="28"/>
  <c r="O2920" i="28"/>
  <c r="P2920" i="28"/>
  <c r="Q2920" i="28"/>
  <c r="B2923" i="28"/>
  <c r="C2923" i="28"/>
  <c r="D2923" i="28"/>
  <c r="E2923" i="28"/>
  <c r="F2923" i="28"/>
  <c r="G2923" i="28"/>
  <c r="H2923" i="28"/>
  <c r="I2923" i="28"/>
  <c r="J2923" i="28"/>
  <c r="K2923" i="28"/>
  <c r="L2923" i="28"/>
  <c r="M2923" i="28"/>
  <c r="N2923" i="28"/>
  <c r="O2923" i="28"/>
  <c r="P2923" i="28"/>
  <c r="Q2923" i="28"/>
  <c r="B2926" i="28"/>
  <c r="C2926" i="28"/>
  <c r="D2926" i="28"/>
  <c r="E2926" i="28"/>
  <c r="F2926" i="28"/>
  <c r="G2926" i="28"/>
  <c r="H2926" i="28"/>
  <c r="I2926" i="28"/>
  <c r="J2926" i="28"/>
  <c r="K2926" i="28"/>
  <c r="L2926" i="28"/>
  <c r="M2926" i="28"/>
  <c r="N2926" i="28"/>
  <c r="O2926" i="28"/>
  <c r="P2926" i="28"/>
  <c r="Q2926" i="28"/>
  <c r="B2927" i="28"/>
  <c r="C2927" i="28"/>
  <c r="D2927" i="28"/>
  <c r="E2927" i="28"/>
  <c r="F2927" i="28"/>
  <c r="G2927" i="28"/>
  <c r="H2927" i="28"/>
  <c r="I2927" i="28"/>
  <c r="J2927" i="28"/>
  <c r="K2927" i="28"/>
  <c r="L2927" i="28"/>
  <c r="M2927" i="28"/>
  <c r="N2927" i="28"/>
  <c r="O2927" i="28"/>
  <c r="P2927" i="28"/>
  <c r="Q2927" i="28"/>
  <c r="B2929" i="28"/>
  <c r="C2929" i="28"/>
  <c r="D2929" i="28"/>
  <c r="E2929" i="28"/>
  <c r="F2929" i="28"/>
  <c r="G2929" i="28"/>
  <c r="H2929" i="28"/>
  <c r="I2929" i="28"/>
  <c r="J2929" i="28"/>
  <c r="K2929" i="28"/>
  <c r="L2929" i="28"/>
  <c r="M2929" i="28"/>
  <c r="N2929" i="28"/>
  <c r="O2929" i="28"/>
  <c r="P2929" i="28"/>
  <c r="Q2929" i="28"/>
  <c r="B2930" i="28"/>
  <c r="C2930" i="28"/>
  <c r="D2930" i="28"/>
  <c r="E2930" i="28"/>
  <c r="F2930" i="28"/>
  <c r="G2930" i="28"/>
  <c r="H2930" i="28"/>
  <c r="I2930" i="28"/>
  <c r="J2930" i="28"/>
  <c r="K2930" i="28"/>
  <c r="L2930" i="28"/>
  <c r="M2930" i="28"/>
  <c r="N2930" i="28"/>
  <c r="O2930" i="28"/>
  <c r="P2930" i="28"/>
  <c r="Q2930" i="28"/>
  <c r="B2933" i="28"/>
  <c r="C2933" i="28"/>
  <c r="D2933" i="28"/>
  <c r="E2933" i="28"/>
  <c r="F2933" i="28"/>
  <c r="G2933" i="28"/>
  <c r="H2933" i="28"/>
  <c r="I2933" i="28"/>
  <c r="J2933" i="28"/>
  <c r="K2933" i="28"/>
  <c r="L2933" i="28"/>
  <c r="M2933" i="28"/>
  <c r="N2933" i="28"/>
  <c r="O2933" i="28"/>
  <c r="P2933" i="28"/>
  <c r="Q2933" i="28"/>
  <c r="B2934" i="28"/>
  <c r="C2934" i="28"/>
  <c r="D2934" i="28"/>
  <c r="E2934" i="28"/>
  <c r="F2934" i="28"/>
  <c r="G2934" i="28"/>
  <c r="H2934" i="28"/>
  <c r="I2934" i="28"/>
  <c r="J2934" i="28"/>
  <c r="K2934" i="28"/>
  <c r="L2934" i="28"/>
  <c r="M2934" i="28"/>
  <c r="N2934" i="28"/>
  <c r="O2934" i="28"/>
  <c r="P2934" i="28"/>
  <c r="Q2934" i="28"/>
  <c r="B2935" i="28"/>
  <c r="C2935" i="28"/>
  <c r="D2935" i="28"/>
  <c r="E2935" i="28"/>
  <c r="F2935" i="28"/>
  <c r="G2935" i="28"/>
  <c r="H2935" i="28"/>
  <c r="I2935" i="28"/>
  <c r="J2935" i="28"/>
  <c r="K2935" i="28"/>
  <c r="L2935" i="28"/>
  <c r="M2935" i="28"/>
  <c r="N2935" i="28"/>
  <c r="O2935" i="28"/>
  <c r="P2935" i="28"/>
  <c r="Q2935" i="28"/>
  <c r="B2941" i="28"/>
  <c r="C2941" i="28"/>
  <c r="D2941" i="28"/>
  <c r="AA6" i="21" s="1"/>
  <c r="E2941" i="28"/>
  <c r="AA7" i="21" s="1"/>
  <c r="F2941" i="28"/>
  <c r="G2941" i="28"/>
  <c r="H2941" i="28"/>
  <c r="I2941" i="28"/>
  <c r="J2941" i="28"/>
  <c r="K2941" i="28"/>
  <c r="L2941" i="28"/>
  <c r="AA14" i="21" s="1"/>
  <c r="M2941" i="28"/>
  <c r="N2941" i="28"/>
  <c r="O2941" i="28"/>
  <c r="AA17" i="21" s="1"/>
  <c r="P2941" i="28"/>
  <c r="AA18" i="21" s="1"/>
  <c r="Q2941" i="28"/>
  <c r="AA19" i="21" s="1"/>
  <c r="R2941" i="28"/>
  <c r="S2941" i="28"/>
  <c r="T2941" i="28"/>
  <c r="AA22" i="21" s="1"/>
  <c r="U2941" i="28"/>
  <c r="AA23" i="21" s="1"/>
  <c r="V2941" i="28"/>
  <c r="W2941" i="28"/>
  <c r="X2941" i="28"/>
  <c r="Y2941" i="28"/>
  <c r="AA27" i="21" s="1"/>
  <c r="Z2941" i="28"/>
  <c r="AA2941" i="28"/>
  <c r="AB2941" i="28"/>
  <c r="AA30" i="21" s="1"/>
  <c r="AC2941" i="28"/>
  <c r="AD2941" i="28"/>
  <c r="AA32" i="21" s="1"/>
  <c r="AE2941" i="28"/>
  <c r="AF2941" i="28"/>
  <c r="AA34" i="21" s="1"/>
  <c r="AG2941" i="28"/>
  <c r="AA35" i="21" s="1"/>
  <c r="AH2941" i="28"/>
  <c r="AI2941" i="28"/>
  <c r="AJ2941" i="28"/>
  <c r="AK2941" i="28"/>
  <c r="AA39" i="21" s="1"/>
  <c r="AL2941" i="28"/>
  <c r="AA40" i="21" s="1"/>
  <c r="AM2941" i="28"/>
  <c r="AN2941" i="28"/>
  <c r="AA42" i="21" s="1"/>
  <c r="AO2941" i="28"/>
  <c r="AA43" i="21" s="1"/>
  <c r="AP2941" i="28"/>
  <c r="AA44" i="21" s="1"/>
  <c r="AQ2941" i="28"/>
  <c r="AR2941" i="28"/>
  <c r="AA46" i="21" s="1"/>
  <c r="AS2941" i="28"/>
  <c r="AT2941" i="28"/>
  <c r="AU2941" i="28"/>
  <c r="AV2941" i="28"/>
  <c r="AW2941" i="28"/>
  <c r="AX2941" i="28"/>
  <c r="AY2941" i="28"/>
  <c r="AZ2941" i="28"/>
  <c r="BA2941" i="28"/>
  <c r="BB2941" i="28"/>
  <c r="BC2941" i="28"/>
  <c r="BD2941" i="28"/>
  <c r="BE2941" i="28"/>
  <c r="BF2941" i="28"/>
  <c r="BG2941" i="28"/>
  <c r="BH2941" i="28"/>
  <c r="BI2941" i="28"/>
  <c r="BJ2941" i="28"/>
  <c r="BK2941" i="28"/>
  <c r="BL2941" i="28"/>
  <c r="BM2941" i="28"/>
  <c r="BN2941" i="28"/>
  <c r="BO2941" i="28"/>
  <c r="BP2941" i="28"/>
  <c r="BQ2941" i="28"/>
  <c r="BR2941" i="28"/>
  <c r="BS2941" i="28"/>
  <c r="BT2941" i="28"/>
  <c r="BU2941" i="28"/>
  <c r="BV2941" i="28"/>
  <c r="BW2941" i="28"/>
  <c r="BX2941" i="28"/>
  <c r="BY2941" i="28"/>
  <c r="BZ2941" i="28"/>
  <c r="CA2941" i="28"/>
  <c r="CB2941" i="28"/>
  <c r="CC2941" i="28"/>
  <c r="CD2941" i="28"/>
  <c r="CE2941" i="28"/>
  <c r="CF2941" i="28"/>
  <c r="CG2941" i="28"/>
  <c r="CH2941" i="28"/>
  <c r="CI2941" i="28"/>
  <c r="CJ2941" i="28"/>
  <c r="CK2941" i="28"/>
  <c r="CL2941" i="28"/>
  <c r="CM2941" i="28"/>
  <c r="CN2941" i="28"/>
  <c r="CO2941" i="28"/>
  <c r="CP2941" i="28"/>
  <c r="CQ2941" i="28"/>
  <c r="CR2941" i="28"/>
  <c r="CS2941" i="28"/>
  <c r="CT2941" i="28"/>
  <c r="CU2941" i="28"/>
  <c r="CV2941" i="28"/>
  <c r="CW2941" i="28"/>
  <c r="CX2941" i="28"/>
  <c r="CY2941" i="28"/>
  <c r="CZ2941" i="28"/>
  <c r="DA2941" i="28"/>
  <c r="DB2941" i="28"/>
  <c r="DC2941" i="28"/>
  <c r="DD2941" i="28"/>
  <c r="DE2941" i="28"/>
  <c r="DF2941" i="28"/>
  <c r="DG2941" i="28"/>
  <c r="DH2941" i="28"/>
  <c r="DI2941" i="28"/>
  <c r="DJ2941" i="28"/>
  <c r="DK2941" i="28"/>
  <c r="DL2941" i="28"/>
  <c r="DM2941" i="28"/>
  <c r="DN2941" i="28"/>
  <c r="DO2941" i="28"/>
  <c r="DP2941" i="28"/>
  <c r="DQ2941" i="28"/>
  <c r="DR2941" i="28"/>
  <c r="DS2941" i="28"/>
  <c r="DT2941" i="28"/>
  <c r="DU2941" i="28"/>
  <c r="DV2941" i="28"/>
  <c r="DW2941" i="28"/>
  <c r="DX2941" i="28"/>
  <c r="DY2941" i="28"/>
  <c r="B2942" i="28"/>
  <c r="C2942" i="28"/>
  <c r="D2942" i="28"/>
  <c r="E2942" i="28"/>
  <c r="F2942" i="28"/>
  <c r="G2942" i="28"/>
  <c r="H2942" i="28"/>
  <c r="I2942" i="28"/>
  <c r="J2942" i="28"/>
  <c r="K2942" i="28"/>
  <c r="L2942" i="28"/>
  <c r="M2942" i="28"/>
  <c r="N2942" i="28"/>
  <c r="O2942" i="28"/>
  <c r="P2942" i="28"/>
  <c r="Q2942" i="28"/>
  <c r="R2942" i="28"/>
  <c r="S2942" i="28"/>
  <c r="T2942" i="28"/>
  <c r="U2942" i="28"/>
  <c r="V2942" i="28"/>
  <c r="W2942" i="28"/>
  <c r="X2942" i="28"/>
  <c r="Y2942" i="28"/>
  <c r="Z2942" i="28"/>
  <c r="AA2942" i="28"/>
  <c r="AB2942" i="28"/>
  <c r="AC2942" i="28"/>
  <c r="AD2942" i="28"/>
  <c r="AE2942" i="28"/>
  <c r="AF2942" i="28"/>
  <c r="AG2942" i="28"/>
  <c r="AH2942" i="28"/>
  <c r="AI2942" i="28"/>
  <c r="AJ2942" i="28"/>
  <c r="AK2942" i="28"/>
  <c r="AL2942" i="28"/>
  <c r="AM2942" i="28"/>
  <c r="AN2942" i="28"/>
  <c r="AO2942" i="28"/>
  <c r="AP2942" i="28"/>
  <c r="AQ2942" i="28"/>
  <c r="AR2942" i="28"/>
  <c r="AS2942" i="28"/>
  <c r="AT2942" i="28"/>
  <c r="AU2942" i="28"/>
  <c r="AV2942" i="28"/>
  <c r="AW2942" i="28"/>
  <c r="AX2942" i="28"/>
  <c r="AY2942" i="28"/>
  <c r="AZ2942" i="28"/>
  <c r="BA2942" i="28"/>
  <c r="BB2942" i="28"/>
  <c r="BC2942" i="28"/>
  <c r="BD2942" i="28"/>
  <c r="BE2942" i="28"/>
  <c r="BF2942" i="28"/>
  <c r="BG2942" i="28"/>
  <c r="BH2942" i="28"/>
  <c r="BI2942" i="28"/>
  <c r="BJ2942" i="28"/>
  <c r="BK2942" i="28"/>
  <c r="BL2942" i="28"/>
  <c r="BM2942" i="28"/>
  <c r="BN2942" i="28"/>
  <c r="BO2942" i="28"/>
  <c r="BP2942" i="28"/>
  <c r="BQ2942" i="28"/>
  <c r="BR2942" i="28"/>
  <c r="BS2942" i="28"/>
  <c r="BT2942" i="28"/>
  <c r="BU2942" i="28"/>
  <c r="BV2942" i="28"/>
  <c r="BW2942" i="28"/>
  <c r="BX2942" i="28"/>
  <c r="BY2942" i="28"/>
  <c r="BZ2942" i="28"/>
  <c r="CA2942" i="28"/>
  <c r="CB2942" i="28"/>
  <c r="CC2942" i="28"/>
  <c r="CD2942" i="28"/>
  <c r="CE2942" i="28"/>
  <c r="CF2942" i="28"/>
  <c r="CG2942" i="28"/>
  <c r="CH2942" i="28"/>
  <c r="CI2942" i="28"/>
  <c r="CJ2942" i="28"/>
  <c r="CK2942" i="28"/>
  <c r="CL2942" i="28"/>
  <c r="CM2942" i="28"/>
  <c r="CN2942" i="28"/>
  <c r="CO2942" i="28"/>
  <c r="CP2942" i="28"/>
  <c r="CQ2942" i="28"/>
  <c r="CR2942" i="28"/>
  <c r="CS2942" i="28"/>
  <c r="CT2942" i="28"/>
  <c r="CU2942" i="28"/>
  <c r="CV2942" i="28"/>
  <c r="CW2942" i="28"/>
  <c r="CX2942" i="28"/>
  <c r="CY2942" i="28"/>
  <c r="CZ2942" i="28"/>
  <c r="DA2942" i="28"/>
  <c r="DB2942" i="28"/>
  <c r="DC2942" i="28"/>
  <c r="DD2942" i="28"/>
  <c r="DE2942" i="28"/>
  <c r="DF2942" i="28"/>
  <c r="DG2942" i="28"/>
  <c r="DH2942" i="28"/>
  <c r="DI2942" i="28"/>
  <c r="DJ2942" i="28"/>
  <c r="DK2942" i="28"/>
  <c r="DL2942" i="28"/>
  <c r="DM2942" i="28"/>
  <c r="DN2942" i="28"/>
  <c r="DO2942" i="28"/>
  <c r="DP2942" i="28"/>
  <c r="DQ2942" i="28"/>
  <c r="DR2942" i="28"/>
  <c r="DS2942" i="28"/>
  <c r="DT2942" i="28"/>
  <c r="DU2942" i="28"/>
  <c r="DV2942" i="28"/>
  <c r="DW2942" i="28"/>
  <c r="DX2942" i="28"/>
  <c r="DY2942" i="28"/>
  <c r="B2943" i="28"/>
  <c r="C2943" i="28"/>
  <c r="D2943" i="28"/>
  <c r="E2943" i="28"/>
  <c r="F2943" i="28"/>
  <c r="G2943" i="28"/>
  <c r="H2943" i="28"/>
  <c r="I2943" i="28"/>
  <c r="J2943" i="28"/>
  <c r="K2943" i="28"/>
  <c r="L2943" i="28"/>
  <c r="M2943" i="28"/>
  <c r="N2943" i="28"/>
  <c r="O2943" i="28"/>
  <c r="P2943" i="28"/>
  <c r="Q2943" i="28"/>
  <c r="R2943" i="28"/>
  <c r="S2943" i="28"/>
  <c r="T2943" i="28"/>
  <c r="U2943" i="28"/>
  <c r="V2943" i="28"/>
  <c r="W2943" i="28"/>
  <c r="X2943" i="28"/>
  <c r="Y2943" i="28"/>
  <c r="Z2943" i="28"/>
  <c r="AA2943" i="28"/>
  <c r="AB2943" i="28"/>
  <c r="AC2943" i="28"/>
  <c r="AD2943" i="28"/>
  <c r="AE2943" i="28"/>
  <c r="AF2943" i="28"/>
  <c r="AG2943" i="28"/>
  <c r="AH2943" i="28"/>
  <c r="AI2943" i="28"/>
  <c r="AJ2943" i="28"/>
  <c r="AK2943" i="28"/>
  <c r="AL2943" i="28"/>
  <c r="AM2943" i="28"/>
  <c r="AN2943" i="28"/>
  <c r="AO2943" i="28"/>
  <c r="AP2943" i="28"/>
  <c r="AQ2943" i="28"/>
  <c r="AR2943" i="28"/>
  <c r="AS2943" i="28"/>
  <c r="AT2943" i="28"/>
  <c r="AU2943" i="28"/>
  <c r="AV2943" i="28"/>
  <c r="AW2943" i="28"/>
  <c r="AX2943" i="28"/>
  <c r="AY2943" i="28"/>
  <c r="AZ2943" i="28"/>
  <c r="BA2943" i="28"/>
  <c r="BB2943" i="28"/>
  <c r="BC2943" i="28"/>
  <c r="BD2943" i="28"/>
  <c r="BE2943" i="28"/>
  <c r="BF2943" i="28"/>
  <c r="BG2943" i="28"/>
  <c r="BH2943" i="28"/>
  <c r="BI2943" i="28"/>
  <c r="BJ2943" i="28"/>
  <c r="BK2943" i="28"/>
  <c r="BL2943" i="28"/>
  <c r="BM2943" i="28"/>
  <c r="BN2943" i="28"/>
  <c r="BO2943" i="28"/>
  <c r="BP2943" i="28"/>
  <c r="BQ2943" i="28"/>
  <c r="BR2943" i="28"/>
  <c r="BS2943" i="28"/>
  <c r="BT2943" i="28"/>
  <c r="BU2943" i="28"/>
  <c r="BV2943" i="28"/>
  <c r="BW2943" i="28"/>
  <c r="BX2943" i="28"/>
  <c r="BY2943" i="28"/>
  <c r="BZ2943" i="28"/>
  <c r="CA2943" i="28"/>
  <c r="CB2943" i="28"/>
  <c r="CC2943" i="28"/>
  <c r="CD2943" i="28"/>
  <c r="CE2943" i="28"/>
  <c r="CF2943" i="28"/>
  <c r="CG2943" i="28"/>
  <c r="CH2943" i="28"/>
  <c r="CI2943" i="28"/>
  <c r="CJ2943" i="28"/>
  <c r="CK2943" i="28"/>
  <c r="CL2943" i="28"/>
  <c r="CM2943" i="28"/>
  <c r="CN2943" i="28"/>
  <c r="CO2943" i="28"/>
  <c r="CP2943" i="28"/>
  <c r="CQ2943" i="28"/>
  <c r="CR2943" i="28"/>
  <c r="CS2943" i="28"/>
  <c r="CT2943" i="28"/>
  <c r="CU2943" i="28"/>
  <c r="CV2943" i="28"/>
  <c r="CW2943" i="28"/>
  <c r="CX2943" i="28"/>
  <c r="CY2943" i="28"/>
  <c r="CZ2943" i="28"/>
  <c r="DA2943" i="28"/>
  <c r="DB2943" i="28"/>
  <c r="DC2943" i="28"/>
  <c r="DD2943" i="28"/>
  <c r="DE2943" i="28"/>
  <c r="DF2943" i="28"/>
  <c r="DG2943" i="28"/>
  <c r="DH2943" i="28"/>
  <c r="DI2943" i="28"/>
  <c r="DJ2943" i="28"/>
  <c r="DK2943" i="28"/>
  <c r="DL2943" i="28"/>
  <c r="DM2943" i="28"/>
  <c r="DN2943" i="28"/>
  <c r="DO2943" i="28"/>
  <c r="DP2943" i="28"/>
  <c r="DQ2943" i="28"/>
  <c r="DR2943" i="28"/>
  <c r="DS2943" i="28"/>
  <c r="DT2943" i="28"/>
  <c r="DU2943" i="28"/>
  <c r="DV2943" i="28"/>
  <c r="DW2943" i="28"/>
  <c r="DX2943" i="28"/>
  <c r="DY2943" i="28"/>
  <c r="B2945" i="28"/>
  <c r="C2945" i="28"/>
  <c r="D2945" i="28"/>
  <c r="E2945" i="28"/>
  <c r="F2945" i="28"/>
  <c r="G2945" i="28"/>
  <c r="H2945" i="28"/>
  <c r="I2945" i="28"/>
  <c r="J2945" i="28"/>
  <c r="K2945" i="28"/>
  <c r="L2945" i="28"/>
  <c r="M2945" i="28"/>
  <c r="N2945" i="28"/>
  <c r="O2945" i="28"/>
  <c r="P2945" i="28"/>
  <c r="Q2945" i="28"/>
  <c r="R2945" i="28"/>
  <c r="S2945" i="28"/>
  <c r="T2945" i="28"/>
  <c r="U2945" i="28"/>
  <c r="V2945" i="28"/>
  <c r="W2945" i="28"/>
  <c r="X2945" i="28"/>
  <c r="Y2945" i="28"/>
  <c r="Z2945" i="28"/>
  <c r="AA2945" i="28"/>
  <c r="AB2945" i="28"/>
  <c r="AC2945" i="28"/>
  <c r="AD2945" i="28"/>
  <c r="AE2945" i="28"/>
  <c r="AF2945" i="28"/>
  <c r="AG2945" i="28"/>
  <c r="AH2945" i="28"/>
  <c r="AI2945" i="28"/>
  <c r="AJ2945" i="28"/>
  <c r="AK2945" i="28"/>
  <c r="AL2945" i="28"/>
  <c r="AM2945" i="28"/>
  <c r="AN2945" i="28"/>
  <c r="AO2945" i="28"/>
  <c r="AP2945" i="28"/>
  <c r="AQ2945" i="28"/>
  <c r="AR2945" i="28"/>
  <c r="AS2945" i="28"/>
  <c r="AT2945" i="28"/>
  <c r="AU2945" i="28"/>
  <c r="AV2945" i="28"/>
  <c r="AW2945" i="28"/>
  <c r="AX2945" i="28"/>
  <c r="AY2945" i="28"/>
  <c r="AZ2945" i="28"/>
  <c r="BA2945" i="28"/>
  <c r="BB2945" i="28"/>
  <c r="BC2945" i="28"/>
  <c r="BD2945" i="28"/>
  <c r="BE2945" i="28"/>
  <c r="BF2945" i="28"/>
  <c r="BG2945" i="28"/>
  <c r="BH2945" i="28"/>
  <c r="BI2945" i="28"/>
  <c r="BJ2945" i="28"/>
  <c r="BK2945" i="28"/>
  <c r="BL2945" i="28"/>
  <c r="BM2945" i="28"/>
  <c r="BN2945" i="28"/>
  <c r="BO2945" i="28"/>
  <c r="BP2945" i="28"/>
  <c r="BQ2945" i="28"/>
  <c r="BR2945" i="28"/>
  <c r="BS2945" i="28"/>
  <c r="BT2945" i="28"/>
  <c r="BU2945" i="28"/>
  <c r="BV2945" i="28"/>
  <c r="BW2945" i="28"/>
  <c r="BX2945" i="28"/>
  <c r="BY2945" i="28"/>
  <c r="BZ2945" i="28"/>
  <c r="CA2945" i="28"/>
  <c r="CB2945" i="28"/>
  <c r="CC2945" i="28"/>
  <c r="CD2945" i="28"/>
  <c r="CE2945" i="28"/>
  <c r="CF2945" i="28"/>
  <c r="CG2945" i="28"/>
  <c r="CH2945" i="28"/>
  <c r="CI2945" i="28"/>
  <c r="CJ2945" i="28"/>
  <c r="CK2945" i="28"/>
  <c r="CL2945" i="28"/>
  <c r="CM2945" i="28"/>
  <c r="CN2945" i="28"/>
  <c r="CO2945" i="28"/>
  <c r="CP2945" i="28"/>
  <c r="CQ2945" i="28"/>
  <c r="CR2945" i="28"/>
  <c r="CS2945" i="28"/>
  <c r="CT2945" i="28"/>
  <c r="CU2945" i="28"/>
  <c r="CV2945" i="28"/>
  <c r="CW2945" i="28"/>
  <c r="CX2945" i="28"/>
  <c r="CY2945" i="28"/>
  <c r="CZ2945" i="28"/>
  <c r="DA2945" i="28"/>
  <c r="DB2945" i="28"/>
  <c r="DC2945" i="28"/>
  <c r="DD2945" i="28"/>
  <c r="DE2945" i="28"/>
  <c r="DF2945" i="28"/>
  <c r="DG2945" i="28"/>
  <c r="DH2945" i="28"/>
  <c r="DI2945" i="28"/>
  <c r="DJ2945" i="28"/>
  <c r="DK2945" i="28"/>
  <c r="DL2945" i="28"/>
  <c r="DM2945" i="28"/>
  <c r="DN2945" i="28"/>
  <c r="DO2945" i="28"/>
  <c r="DP2945" i="28"/>
  <c r="DQ2945" i="28"/>
  <c r="DR2945" i="28"/>
  <c r="DS2945" i="28"/>
  <c r="DT2945" i="28"/>
  <c r="DU2945" i="28"/>
  <c r="DV2945" i="28"/>
  <c r="DW2945" i="28"/>
  <c r="DX2945" i="28"/>
  <c r="DY2945" i="28"/>
  <c r="K14" i="29"/>
  <c r="M12" i="29"/>
  <c r="L41" i="19"/>
  <c r="L36" i="19"/>
  <c r="L31" i="19"/>
  <c r="L26" i="19"/>
  <c r="L21" i="19"/>
  <c r="L16" i="19"/>
  <c r="L11" i="19"/>
  <c r="L6" i="19"/>
  <c r="K41" i="19"/>
  <c r="K36" i="19"/>
  <c r="K31" i="19"/>
  <c r="K26" i="19"/>
  <c r="K21" i="19"/>
  <c r="K16" i="19"/>
  <c r="K11" i="19"/>
  <c r="K6" i="19"/>
  <c r="J41" i="19"/>
  <c r="J36" i="19"/>
  <c r="J31" i="19"/>
  <c r="J26" i="19"/>
  <c r="J21" i="19"/>
  <c r="J16" i="19"/>
  <c r="J11" i="19"/>
  <c r="J6" i="19"/>
  <c r="I41" i="19"/>
  <c r="I36" i="19"/>
  <c r="I31" i="19"/>
  <c r="I26" i="19"/>
  <c r="I21" i="19"/>
  <c r="I16" i="19"/>
  <c r="I11" i="19"/>
  <c r="I6" i="19"/>
  <c r="H41" i="19"/>
  <c r="H36" i="19"/>
  <c r="H31" i="19"/>
  <c r="H26" i="19"/>
  <c r="H21" i="19"/>
  <c r="H16" i="19"/>
  <c r="H11" i="19"/>
  <c r="H6" i="19"/>
  <c r="G41" i="19"/>
  <c r="G36" i="19"/>
  <c r="G31" i="19"/>
  <c r="G26" i="19"/>
  <c r="G21" i="19"/>
  <c r="G16" i="19"/>
  <c r="G11" i="19"/>
  <c r="G6" i="19"/>
  <c r="F41" i="19"/>
  <c r="F36" i="19"/>
  <c r="F31" i="19"/>
  <c r="F26" i="19"/>
  <c r="F21" i="19"/>
  <c r="F16" i="19"/>
  <c r="F11" i="19"/>
  <c r="F6" i="19"/>
  <c r="E41" i="19"/>
  <c r="E36" i="19"/>
  <c r="E31" i="19"/>
  <c r="E26" i="19"/>
  <c r="E21" i="19"/>
  <c r="E16" i="19"/>
  <c r="E11" i="19"/>
  <c r="E6" i="19"/>
  <c r="L40" i="19"/>
  <c r="L35" i="19"/>
  <c r="L30" i="19"/>
  <c r="L25" i="19"/>
  <c r="L20" i="19"/>
  <c r="L15" i="19"/>
  <c r="L10" i="19"/>
  <c r="L5" i="19"/>
  <c r="K40" i="19"/>
  <c r="K35" i="19"/>
  <c r="K30" i="19"/>
  <c r="K25" i="19"/>
  <c r="K20" i="19"/>
  <c r="K15" i="19"/>
  <c r="K10" i="19"/>
  <c r="K5" i="19"/>
  <c r="J40" i="19"/>
  <c r="J35" i="19"/>
  <c r="J30" i="19"/>
  <c r="J25" i="19"/>
  <c r="J20" i="19"/>
  <c r="J15" i="19"/>
  <c r="J10" i="19"/>
  <c r="J5" i="19"/>
  <c r="I40" i="19"/>
  <c r="I35" i="19"/>
  <c r="I30" i="19"/>
  <c r="I25" i="19"/>
  <c r="I20" i="19"/>
  <c r="I15" i="19"/>
  <c r="I10" i="19"/>
  <c r="I5" i="19"/>
  <c r="H40" i="19"/>
  <c r="H35" i="19"/>
  <c r="H30" i="19"/>
  <c r="H25" i="19"/>
  <c r="H20" i="19"/>
  <c r="H15" i="19"/>
  <c r="H10" i="19"/>
  <c r="H5" i="19"/>
  <c r="G40" i="19"/>
  <c r="G35" i="19"/>
  <c r="G30" i="19"/>
  <c r="G25" i="19"/>
  <c r="G20" i="19"/>
  <c r="G15" i="19"/>
  <c r="G10" i="19"/>
  <c r="G5" i="19"/>
  <c r="F40" i="19"/>
  <c r="F35" i="19"/>
  <c r="F30" i="19"/>
  <c r="F25" i="19"/>
  <c r="F20" i="19"/>
  <c r="F15" i="19"/>
  <c r="F10" i="19"/>
  <c r="F5" i="19"/>
  <c r="E40" i="19"/>
  <c r="E35" i="19"/>
  <c r="E30" i="19"/>
  <c r="E25" i="19"/>
  <c r="E20" i="19"/>
  <c r="E15" i="19"/>
  <c r="E10" i="19"/>
  <c r="E5" i="19"/>
  <c r="E24" i="19"/>
  <c r="AH50" i="19"/>
  <c r="AH43" i="19"/>
  <c r="AC43" i="19"/>
  <c r="L39" i="19"/>
  <c r="L34" i="19"/>
  <c r="L29" i="19"/>
  <c r="L24" i="19"/>
  <c r="L19" i="19"/>
  <c r="L14" i="19"/>
  <c r="L9" i="19"/>
  <c r="L4" i="19"/>
  <c r="K39" i="19"/>
  <c r="K34" i="19"/>
  <c r="K29" i="19"/>
  <c r="K24" i="19"/>
  <c r="K19" i="19"/>
  <c r="K14" i="19"/>
  <c r="K9" i="19"/>
  <c r="K4" i="19"/>
  <c r="J39" i="19"/>
  <c r="J34" i="19"/>
  <c r="J29" i="19"/>
  <c r="J24" i="19"/>
  <c r="J19" i="19"/>
  <c r="J14" i="19"/>
  <c r="J9" i="19"/>
  <c r="J4" i="19"/>
  <c r="I39" i="19"/>
  <c r="I34" i="19"/>
  <c r="I29" i="19"/>
  <c r="I24" i="19"/>
  <c r="I19" i="19"/>
  <c r="I14" i="19"/>
  <c r="I9" i="19"/>
  <c r="I4" i="19"/>
  <c r="H39" i="19"/>
  <c r="H34" i="19"/>
  <c r="H29" i="19"/>
  <c r="H24" i="19"/>
  <c r="H19" i="19"/>
  <c r="H14" i="19"/>
  <c r="H9" i="19"/>
  <c r="H4" i="19"/>
  <c r="G39" i="19"/>
  <c r="G34" i="19"/>
  <c r="G29" i="19"/>
  <c r="G24" i="19"/>
  <c r="G19" i="19"/>
  <c r="G14" i="19"/>
  <c r="G9" i="19"/>
  <c r="G4" i="19"/>
  <c r="F39" i="19"/>
  <c r="F34" i="19"/>
  <c r="F29" i="19"/>
  <c r="F24" i="19"/>
  <c r="F19" i="19"/>
  <c r="F14" i="19"/>
  <c r="F9" i="19"/>
  <c r="F4" i="19"/>
  <c r="E39" i="19"/>
  <c r="E34" i="19"/>
  <c r="E29" i="19"/>
  <c r="E19" i="19"/>
  <c r="E14" i="19"/>
  <c r="E9" i="19"/>
  <c r="E4" i="19"/>
  <c r="AI14" i="19"/>
  <c r="AI12" i="19"/>
  <c r="AI10" i="19"/>
  <c r="AI8" i="19"/>
  <c r="AI6" i="19"/>
  <c r="AI4" i="19"/>
  <c r="AL20" i="17"/>
  <c r="AL19" i="17"/>
  <c r="AK20" i="17"/>
  <c r="AK19" i="17"/>
  <c r="AJ20" i="17"/>
  <c r="AJ19" i="17"/>
  <c r="AI20" i="17"/>
  <c r="AI19" i="17"/>
  <c r="AN18" i="17"/>
  <c r="AN17" i="17"/>
  <c r="AM18" i="17"/>
  <c r="AM17" i="17"/>
  <c r="AL18" i="17"/>
  <c r="AL17" i="17"/>
  <c r="AK18" i="17"/>
  <c r="AK17" i="17"/>
  <c r="AJ18" i="17"/>
  <c r="AJ17" i="17"/>
  <c r="AI18" i="17"/>
  <c r="AI17" i="17"/>
  <c r="AN16" i="17"/>
  <c r="AN15" i="17"/>
  <c r="AM16" i="17"/>
  <c r="AM15" i="17"/>
  <c r="AL16" i="17"/>
  <c r="AL15" i="17"/>
  <c r="AK16" i="17"/>
  <c r="AK15" i="17"/>
  <c r="AJ16" i="17"/>
  <c r="AJ15" i="17"/>
  <c r="AI16" i="17"/>
  <c r="AI15" i="17"/>
  <c r="AN11" i="17"/>
  <c r="AN12" i="17"/>
  <c r="AM12" i="17"/>
  <c r="AM11" i="17"/>
  <c r="AL12" i="17"/>
  <c r="AL11" i="17"/>
  <c r="AK12" i="17"/>
  <c r="AK11" i="17"/>
  <c r="AJ12" i="17"/>
  <c r="AJ11" i="17"/>
  <c r="AI12" i="17"/>
  <c r="AI11" i="17"/>
  <c r="AN10" i="17"/>
  <c r="AM10" i="17"/>
  <c r="AL10" i="17"/>
  <c r="AK10" i="17"/>
  <c r="AJ10" i="17"/>
  <c r="AI10" i="17"/>
  <c r="AN9" i="17"/>
  <c r="AM9" i="17"/>
  <c r="AL9" i="17"/>
  <c r="AK9" i="17"/>
  <c r="AJ9" i="17"/>
  <c r="AI9" i="17"/>
  <c r="AI14" i="17"/>
  <c r="AN14" i="17"/>
  <c r="AN13" i="17"/>
  <c r="AM14" i="17"/>
  <c r="AM13" i="17"/>
  <c r="AL14" i="17"/>
  <c r="AL13" i="17"/>
  <c r="AK14" i="17"/>
  <c r="AK13" i="17"/>
  <c r="AJ14" i="17"/>
  <c r="AJ13" i="17"/>
  <c r="AI13" i="17"/>
  <c r="AC39" i="18"/>
  <c r="AB39" i="18"/>
  <c r="AA39" i="18"/>
  <c r="Z39" i="18"/>
  <c r="Y39" i="18"/>
  <c r="X39" i="18"/>
  <c r="W39" i="18"/>
  <c r="AG36" i="18"/>
  <c r="AC36" i="18"/>
  <c r="AB36" i="18"/>
  <c r="AA36" i="18"/>
  <c r="Z36" i="18"/>
  <c r="Y36" i="18"/>
  <c r="X36" i="18"/>
  <c r="W36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9" i="18"/>
  <c r="V36" i="18"/>
  <c r="V33" i="18"/>
  <c r="O41" i="18"/>
  <c r="N41" i="18"/>
  <c r="P40" i="18"/>
  <c r="O40" i="18"/>
  <c r="N40" i="18"/>
  <c r="T39" i="18"/>
  <c r="S39" i="18"/>
  <c r="R39" i="18"/>
  <c r="Q39" i="18"/>
  <c r="P39" i="18"/>
  <c r="O39" i="18"/>
  <c r="N39" i="18"/>
  <c r="M39" i="18"/>
  <c r="L39" i="18"/>
  <c r="K39" i="18"/>
  <c r="O38" i="18"/>
  <c r="N38" i="18"/>
  <c r="R37" i="18"/>
  <c r="O37" i="18"/>
  <c r="T36" i="18"/>
  <c r="S36" i="18"/>
  <c r="R36" i="18"/>
  <c r="Q36" i="18"/>
  <c r="P36" i="18"/>
  <c r="O36" i="18"/>
  <c r="N36" i="18"/>
  <c r="M36" i="18"/>
  <c r="L36" i="18"/>
  <c r="K36" i="18"/>
  <c r="R35" i="18"/>
  <c r="O35" i="18"/>
  <c r="N35" i="18"/>
  <c r="O34" i="18"/>
  <c r="N34" i="18"/>
  <c r="T33" i="18"/>
  <c r="S33" i="18"/>
  <c r="R33" i="18"/>
  <c r="Q33" i="18"/>
  <c r="P33" i="18"/>
  <c r="O33" i="18"/>
  <c r="N33" i="18"/>
  <c r="M33" i="18"/>
  <c r="L33" i="18"/>
  <c r="K33" i="18"/>
  <c r="H39" i="18"/>
  <c r="G39" i="18"/>
  <c r="F39" i="18"/>
  <c r="E39" i="18"/>
  <c r="H36" i="18"/>
  <c r="G36" i="18"/>
  <c r="F36" i="18"/>
  <c r="E36" i="18"/>
  <c r="H33" i="18"/>
  <c r="G33" i="18"/>
  <c r="F33" i="18"/>
  <c r="E33" i="18"/>
  <c r="D33" i="24"/>
  <c r="C33" i="24"/>
  <c r="I24" i="20"/>
  <c r="I28" i="20"/>
  <c r="O28" i="20"/>
  <c r="U24" i="20"/>
  <c r="U28" i="20"/>
  <c r="U32" i="20"/>
  <c r="F32" i="20"/>
  <c r="W46" i="19"/>
  <c r="AI5" i="22"/>
  <c r="AI6" i="18"/>
  <c r="AH33" i="31"/>
  <c r="AG33" i="31"/>
  <c r="AD21" i="31"/>
  <c r="N4" i="31"/>
  <c r="R5" i="31"/>
  <c r="N7" i="31"/>
  <c r="R7" i="31"/>
  <c r="N8" i="31"/>
  <c r="R13" i="31"/>
  <c r="N14" i="31"/>
  <c r="N16" i="31"/>
  <c r="R20" i="31"/>
  <c r="N22" i="31"/>
  <c r="R22" i="31"/>
  <c r="N23" i="31"/>
  <c r="N29" i="31"/>
  <c r="R31" i="31"/>
  <c r="N32" i="31"/>
  <c r="R32" i="31"/>
  <c r="N34" i="31"/>
  <c r="N41" i="31"/>
  <c r="AE16" i="17"/>
  <c r="AA20" i="21"/>
  <c r="AB41" i="30"/>
  <c r="AA41" i="30"/>
  <c r="Z41" i="30"/>
  <c r="Y41" i="30"/>
  <c r="AB40" i="30"/>
  <c r="AA40" i="30"/>
  <c r="Z40" i="30"/>
  <c r="Y40" i="30"/>
  <c r="AB39" i="30"/>
  <c r="AA39" i="30"/>
  <c r="Z39" i="30"/>
  <c r="Y39" i="30"/>
  <c r="AH37" i="30"/>
  <c r="AG37" i="30"/>
  <c r="AF37" i="30"/>
  <c r="AE37" i="30"/>
  <c r="AD37" i="30"/>
  <c r="AC37" i="30"/>
  <c r="AB37" i="30"/>
  <c r="AA37" i="30"/>
  <c r="Z37" i="30"/>
  <c r="Y37" i="30"/>
  <c r="AH36" i="30"/>
  <c r="AG36" i="30"/>
  <c r="AF36" i="30"/>
  <c r="AE36" i="30"/>
  <c r="AD36" i="30"/>
  <c r="AC36" i="30"/>
  <c r="AB36" i="30"/>
  <c r="AA36" i="30"/>
  <c r="Z36" i="30"/>
  <c r="Y36" i="30"/>
  <c r="AH29" i="30"/>
  <c r="AG29" i="30"/>
  <c r="AF29" i="30"/>
  <c r="AE29" i="30"/>
  <c r="AD29" i="30"/>
  <c r="AC29" i="30"/>
  <c r="AB29" i="30"/>
  <c r="AA29" i="30"/>
  <c r="Z29" i="30"/>
  <c r="Y29" i="30"/>
  <c r="AH28" i="30"/>
  <c r="AG28" i="30"/>
  <c r="AF28" i="30"/>
  <c r="AE28" i="30"/>
  <c r="AD28" i="30"/>
  <c r="AC28" i="30"/>
  <c r="AB28" i="30"/>
  <c r="AA28" i="30"/>
  <c r="Z28" i="30"/>
  <c r="Y28" i="30"/>
  <c r="Q37" i="30"/>
  <c r="P37" i="30"/>
  <c r="O37" i="30"/>
  <c r="N37" i="30"/>
  <c r="M37" i="30"/>
  <c r="L37" i="30"/>
  <c r="K37" i="30"/>
  <c r="J37" i="30"/>
  <c r="I37" i="30"/>
  <c r="H37" i="30"/>
  <c r="Q36" i="30"/>
  <c r="P36" i="30"/>
  <c r="O36" i="30"/>
  <c r="N36" i="30"/>
  <c r="M36" i="30"/>
  <c r="L36" i="30"/>
  <c r="K36" i="30"/>
  <c r="J36" i="30"/>
  <c r="I36" i="30"/>
  <c r="H36" i="30"/>
  <c r="Q29" i="30"/>
  <c r="P29" i="30"/>
  <c r="O29" i="30"/>
  <c r="N29" i="30"/>
  <c r="M29" i="30"/>
  <c r="L29" i="30"/>
  <c r="K29" i="30"/>
  <c r="J29" i="30"/>
  <c r="I29" i="30"/>
  <c r="H29" i="30"/>
  <c r="Q28" i="30"/>
  <c r="P28" i="30"/>
  <c r="O28" i="30"/>
  <c r="N28" i="30"/>
  <c r="M28" i="30"/>
  <c r="L28" i="30"/>
  <c r="K28" i="30"/>
  <c r="J28" i="30"/>
  <c r="I28" i="30"/>
  <c r="H28" i="30"/>
  <c r="Q21" i="30"/>
  <c r="P21" i="30"/>
  <c r="O21" i="30"/>
  <c r="N21" i="30"/>
  <c r="M21" i="30"/>
  <c r="L21" i="30"/>
  <c r="K21" i="30"/>
  <c r="J21" i="30"/>
  <c r="I21" i="30"/>
  <c r="H21" i="30"/>
  <c r="Q20" i="30"/>
  <c r="P20" i="30"/>
  <c r="O20" i="30"/>
  <c r="N20" i="30"/>
  <c r="M20" i="30"/>
  <c r="L20" i="30"/>
  <c r="K20" i="30"/>
  <c r="J20" i="30"/>
  <c r="I20" i="30"/>
  <c r="H20" i="30"/>
  <c r="Q13" i="30"/>
  <c r="P13" i="30"/>
  <c r="O13" i="30"/>
  <c r="N13" i="30"/>
  <c r="M13" i="30"/>
  <c r="L13" i="30"/>
  <c r="K13" i="30"/>
  <c r="J13" i="30"/>
  <c r="I13" i="30"/>
  <c r="H13" i="30"/>
  <c r="Q12" i="30"/>
  <c r="P12" i="30"/>
  <c r="O12" i="30"/>
  <c r="N12" i="30"/>
  <c r="M12" i="30"/>
  <c r="L12" i="30"/>
  <c r="K12" i="30"/>
  <c r="J12" i="30"/>
  <c r="I12" i="30"/>
  <c r="H12" i="30"/>
  <c r="Q5" i="30"/>
  <c r="P5" i="30"/>
  <c r="O5" i="30"/>
  <c r="N5" i="30"/>
  <c r="M5" i="30"/>
  <c r="L5" i="30"/>
  <c r="K5" i="30"/>
  <c r="J5" i="30"/>
  <c r="I5" i="30"/>
  <c r="H5" i="30"/>
  <c r="Q4" i="30"/>
  <c r="P4" i="30"/>
  <c r="O4" i="30"/>
  <c r="N4" i="30"/>
  <c r="M4" i="30"/>
  <c r="L4" i="30"/>
  <c r="K4" i="30"/>
  <c r="J4" i="30"/>
  <c r="I4" i="30"/>
  <c r="O3" i="18"/>
  <c r="AB32" i="21"/>
  <c r="AI36" i="31"/>
  <c r="AI33" i="31"/>
  <c r="AI27" i="31"/>
  <c r="AI24" i="31"/>
  <c r="AI21" i="31"/>
  <c r="AI9" i="31"/>
  <c r="AI6" i="31"/>
  <c r="AI9" i="18"/>
  <c r="T32" i="20"/>
  <c r="T31" i="20"/>
  <c r="T30" i="20"/>
  <c r="T29" i="20"/>
  <c r="T28" i="20"/>
  <c r="T27" i="20"/>
  <c r="T26" i="20"/>
  <c r="T25" i="20"/>
  <c r="T24" i="20"/>
  <c r="T23" i="20"/>
  <c r="U30" i="20"/>
  <c r="U29" i="20"/>
  <c r="N32" i="20"/>
  <c r="N31" i="20"/>
  <c r="N30" i="20"/>
  <c r="N29" i="20"/>
  <c r="N28" i="20"/>
  <c r="N27" i="20"/>
  <c r="N26" i="20"/>
  <c r="N25" i="20"/>
  <c r="N24" i="20"/>
  <c r="N23" i="20"/>
  <c r="O29" i="20"/>
  <c r="O25" i="20"/>
  <c r="H32" i="20"/>
  <c r="H31" i="20"/>
  <c r="H30" i="20"/>
  <c r="H29" i="20"/>
  <c r="H28" i="20"/>
  <c r="H27" i="20"/>
  <c r="H26" i="20"/>
  <c r="H25" i="20"/>
  <c r="H24" i="20"/>
  <c r="H23" i="20"/>
  <c r="I29" i="20"/>
  <c r="I26" i="20"/>
  <c r="I25" i="20"/>
  <c r="V5" i="22"/>
  <c r="V4" i="22"/>
  <c r="I34" i="22"/>
  <c r="H34" i="22"/>
  <c r="G34" i="22"/>
  <c r="F34" i="22"/>
  <c r="E34" i="22"/>
  <c r="D34" i="22"/>
  <c r="C34" i="22"/>
  <c r="B34" i="22"/>
  <c r="I33" i="22"/>
  <c r="H33" i="22"/>
  <c r="G33" i="22"/>
  <c r="F33" i="22"/>
  <c r="E33" i="22"/>
  <c r="D33" i="22"/>
  <c r="C33" i="22"/>
  <c r="B33" i="22"/>
  <c r="I32" i="22"/>
  <c r="H32" i="22"/>
  <c r="G32" i="22"/>
  <c r="F32" i="22"/>
  <c r="E32" i="22"/>
  <c r="D32" i="22"/>
  <c r="C32" i="22"/>
  <c r="B32" i="22"/>
  <c r="I31" i="22"/>
  <c r="H31" i="22"/>
  <c r="G31" i="22"/>
  <c r="F31" i="22"/>
  <c r="E31" i="22"/>
  <c r="D31" i="22"/>
  <c r="C31" i="22"/>
  <c r="B31" i="22"/>
  <c r="I30" i="22"/>
  <c r="H30" i="22"/>
  <c r="G30" i="22"/>
  <c r="F30" i="22"/>
  <c r="E30" i="22"/>
  <c r="D30" i="22"/>
  <c r="C30" i="22"/>
  <c r="B30" i="22"/>
  <c r="I29" i="22"/>
  <c r="H29" i="22"/>
  <c r="G29" i="22"/>
  <c r="F29" i="22"/>
  <c r="E29" i="22"/>
  <c r="D29" i="22"/>
  <c r="C29" i="22"/>
  <c r="B29" i="22"/>
  <c r="I28" i="22"/>
  <c r="H28" i="22"/>
  <c r="G28" i="22"/>
  <c r="F28" i="22"/>
  <c r="E28" i="22"/>
  <c r="D28" i="22"/>
  <c r="C28" i="22"/>
  <c r="B28" i="22"/>
  <c r="I27" i="22"/>
  <c r="H27" i="22"/>
  <c r="G27" i="22"/>
  <c r="F27" i="22"/>
  <c r="E27" i="22"/>
  <c r="D27" i="22"/>
  <c r="C27" i="22"/>
  <c r="B27" i="22"/>
  <c r="I26" i="22"/>
  <c r="H26" i="22"/>
  <c r="G26" i="22"/>
  <c r="F26" i="22"/>
  <c r="E26" i="22"/>
  <c r="D26" i="22"/>
  <c r="C26" i="22"/>
  <c r="B26" i="22"/>
  <c r="I22" i="22"/>
  <c r="H22" i="22"/>
  <c r="G22" i="22"/>
  <c r="F22" i="22"/>
  <c r="E22" i="22"/>
  <c r="D22" i="22"/>
  <c r="C22" i="22"/>
  <c r="B22" i="22"/>
  <c r="I21" i="22"/>
  <c r="H21" i="22"/>
  <c r="G21" i="22"/>
  <c r="F21" i="22"/>
  <c r="E21" i="22"/>
  <c r="D21" i="22"/>
  <c r="C21" i="22"/>
  <c r="B21" i="22"/>
  <c r="I20" i="22"/>
  <c r="H20" i="22"/>
  <c r="G20" i="22"/>
  <c r="F20" i="22"/>
  <c r="E20" i="22"/>
  <c r="D20" i="22"/>
  <c r="C20" i="22"/>
  <c r="B20" i="22"/>
  <c r="I19" i="22"/>
  <c r="H19" i="22"/>
  <c r="G19" i="22"/>
  <c r="F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H15" i="22"/>
  <c r="G15" i="22"/>
  <c r="F15" i="22"/>
  <c r="E15" i="22"/>
  <c r="D15" i="22"/>
  <c r="C15" i="22"/>
  <c r="B15" i="22"/>
  <c r="I14" i="22"/>
  <c r="H14" i="22"/>
  <c r="G14" i="22"/>
  <c r="F14" i="22"/>
  <c r="E14" i="22"/>
  <c r="D14" i="22"/>
  <c r="C14" i="22"/>
  <c r="B14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I5" i="22"/>
  <c r="H5" i="22"/>
  <c r="G5" i="22"/>
  <c r="F5" i="22"/>
  <c r="E5" i="22"/>
  <c r="D5" i="22"/>
  <c r="C5" i="22"/>
  <c r="B5" i="22"/>
  <c r="I4" i="22"/>
  <c r="H4" i="22"/>
  <c r="G4" i="22"/>
  <c r="F4" i="22"/>
  <c r="E4" i="22"/>
  <c r="D4" i="22"/>
  <c r="C4" i="22"/>
  <c r="B4" i="22"/>
  <c r="I3" i="22"/>
  <c r="H3" i="22"/>
  <c r="G3" i="22"/>
  <c r="F3" i="22"/>
  <c r="E3" i="22"/>
  <c r="D3" i="22"/>
  <c r="C3" i="22"/>
  <c r="B3" i="22"/>
  <c r="AG50" i="19"/>
  <c r="AF50" i="19"/>
  <c r="AE50" i="19"/>
  <c r="AD50" i="19"/>
  <c r="AG43" i="19"/>
  <c r="AF43" i="19"/>
  <c r="AE43" i="19"/>
  <c r="AD43" i="19"/>
  <c r="W50" i="19"/>
  <c r="V50" i="19"/>
  <c r="U50" i="19"/>
  <c r="T50" i="19"/>
  <c r="W43" i="19"/>
  <c r="V43" i="19"/>
  <c r="U43" i="19"/>
  <c r="T43" i="19"/>
  <c r="AH46" i="19"/>
  <c r="AC50" i="19"/>
  <c r="AC49" i="19"/>
  <c r="AC47" i="19"/>
  <c r="AC46" i="19"/>
  <c r="AC45" i="19"/>
  <c r="AH40" i="19"/>
  <c r="AH39" i="19"/>
  <c r="AH38" i="19"/>
  <c r="AC42" i="19"/>
  <c r="AC40" i="19"/>
  <c r="AC39" i="19"/>
  <c r="AC38" i="19"/>
  <c r="W47" i="19"/>
  <c r="S50" i="19"/>
  <c r="S49" i="19"/>
  <c r="S47" i="19"/>
  <c r="S46" i="19"/>
  <c r="S43" i="19"/>
  <c r="S42" i="19"/>
  <c r="S40" i="19"/>
  <c r="S39" i="19"/>
  <c r="AJ14" i="19"/>
  <c r="AH14" i="19"/>
  <c r="AG14" i="19"/>
  <c r="AF14" i="19"/>
  <c r="AE14" i="19"/>
  <c r="AD14" i="19"/>
  <c r="AC14" i="19"/>
  <c r="AJ13" i="19"/>
  <c r="AI13" i="19"/>
  <c r="AH13" i="19"/>
  <c r="AG13" i="19"/>
  <c r="AF13" i="19"/>
  <c r="AE13" i="19"/>
  <c r="AD13" i="19"/>
  <c r="AC13" i="19"/>
  <c r="AJ12" i="19"/>
  <c r="AH12" i="19"/>
  <c r="AG12" i="19"/>
  <c r="AF12" i="19"/>
  <c r="AE12" i="19"/>
  <c r="AD12" i="19"/>
  <c r="AC12" i="19"/>
  <c r="AJ11" i="19"/>
  <c r="AI11" i="19"/>
  <c r="AH11" i="19"/>
  <c r="AG11" i="19"/>
  <c r="AF11" i="19"/>
  <c r="AE11" i="19"/>
  <c r="AD11" i="19"/>
  <c r="AC11" i="19"/>
  <c r="AJ10" i="19"/>
  <c r="AH10" i="19"/>
  <c r="AG10" i="19"/>
  <c r="AF10" i="19"/>
  <c r="AE10" i="19"/>
  <c r="AD10" i="19"/>
  <c r="AC10" i="19"/>
  <c r="AJ9" i="19"/>
  <c r="AI9" i="19"/>
  <c r="AH9" i="19"/>
  <c r="AG9" i="19"/>
  <c r="AF9" i="19"/>
  <c r="AE9" i="19"/>
  <c r="AD9" i="19"/>
  <c r="AC9" i="19"/>
  <c r="AJ8" i="19"/>
  <c r="AH8" i="19"/>
  <c r="AG8" i="19"/>
  <c r="AF8" i="19"/>
  <c r="AE8" i="19"/>
  <c r="AD8" i="19"/>
  <c r="AC8" i="19"/>
  <c r="AJ7" i="19"/>
  <c r="AI7" i="19"/>
  <c r="AH7" i="19"/>
  <c r="AG7" i="19"/>
  <c r="AF7" i="19"/>
  <c r="AE7" i="19"/>
  <c r="AD7" i="19"/>
  <c r="AC7" i="19"/>
  <c r="AJ6" i="19"/>
  <c r="AH6" i="19"/>
  <c r="AG6" i="19"/>
  <c r="AF6" i="19"/>
  <c r="AE6" i="19"/>
  <c r="AD6" i="19"/>
  <c r="AC6" i="19"/>
  <c r="AJ5" i="19"/>
  <c r="AI5" i="19"/>
  <c r="AH5" i="19"/>
  <c r="AG5" i="19"/>
  <c r="AF5" i="19"/>
  <c r="AE5" i="19"/>
  <c r="AD5" i="19"/>
  <c r="AC5" i="19"/>
  <c r="AJ4" i="19"/>
  <c r="AH4" i="19"/>
  <c r="AG4" i="19"/>
  <c r="AF4" i="19"/>
  <c r="AE4" i="19"/>
  <c r="AD4" i="19"/>
  <c r="AC4" i="19"/>
  <c r="AJ3" i="19"/>
  <c r="AI3" i="19"/>
  <c r="AH3" i="19"/>
  <c r="AG3" i="19"/>
  <c r="AF3" i="19"/>
  <c r="AE3" i="19"/>
  <c r="AD3" i="19"/>
  <c r="AC3" i="19"/>
  <c r="L38" i="19"/>
  <c r="L33" i="19"/>
  <c r="L28" i="19"/>
  <c r="L23" i="19"/>
  <c r="L18" i="19"/>
  <c r="L13" i="19"/>
  <c r="L8" i="19"/>
  <c r="L3" i="19"/>
  <c r="K38" i="19"/>
  <c r="K33" i="19"/>
  <c r="K28" i="19"/>
  <c r="K23" i="19"/>
  <c r="K18" i="19"/>
  <c r="K13" i="19"/>
  <c r="K8" i="19"/>
  <c r="K3" i="19"/>
  <c r="J38" i="19"/>
  <c r="J33" i="19"/>
  <c r="J28" i="19"/>
  <c r="J23" i="19"/>
  <c r="J18" i="19"/>
  <c r="J13" i="19"/>
  <c r="J8" i="19"/>
  <c r="J3" i="19"/>
  <c r="I38" i="19"/>
  <c r="I33" i="19"/>
  <c r="I28" i="19"/>
  <c r="I23" i="19"/>
  <c r="I18" i="19"/>
  <c r="I13" i="19"/>
  <c r="I8" i="19"/>
  <c r="I3" i="19"/>
  <c r="H38" i="19"/>
  <c r="H33" i="19"/>
  <c r="H28" i="19"/>
  <c r="H23" i="19"/>
  <c r="H18" i="19"/>
  <c r="H13" i="19"/>
  <c r="H8" i="19"/>
  <c r="H3" i="19"/>
  <c r="G38" i="19"/>
  <c r="G33" i="19"/>
  <c r="G28" i="19"/>
  <c r="G23" i="19"/>
  <c r="G18" i="19"/>
  <c r="G13" i="19"/>
  <c r="G8" i="19"/>
  <c r="G3" i="19"/>
  <c r="F38" i="19"/>
  <c r="F33" i="19"/>
  <c r="F28" i="19"/>
  <c r="F23" i="19"/>
  <c r="F18" i="19"/>
  <c r="F13" i="19"/>
  <c r="F8" i="19"/>
  <c r="F3" i="19"/>
  <c r="E38" i="19"/>
  <c r="E33" i="19"/>
  <c r="E28" i="19"/>
  <c r="E23" i="19"/>
  <c r="E18" i="19"/>
  <c r="E13" i="19"/>
  <c r="E8" i="19"/>
  <c r="E3" i="19"/>
  <c r="L37" i="19"/>
  <c r="L32" i="19"/>
  <c r="L27" i="19"/>
  <c r="L22" i="19"/>
  <c r="L17" i="19"/>
  <c r="L12" i="19"/>
  <c r="L7" i="19"/>
  <c r="L2" i="19"/>
  <c r="K37" i="19"/>
  <c r="K32" i="19"/>
  <c r="K27" i="19"/>
  <c r="K22" i="19"/>
  <c r="K17" i="19"/>
  <c r="K12" i="19"/>
  <c r="K7" i="19"/>
  <c r="K2" i="19"/>
  <c r="J37" i="19"/>
  <c r="J32" i="19"/>
  <c r="J27" i="19"/>
  <c r="J22" i="19"/>
  <c r="J17" i="19"/>
  <c r="J12" i="19"/>
  <c r="J7" i="19"/>
  <c r="J2" i="19"/>
  <c r="I37" i="19"/>
  <c r="I32" i="19"/>
  <c r="I27" i="19"/>
  <c r="I22" i="19"/>
  <c r="I17" i="19"/>
  <c r="I12" i="19"/>
  <c r="I7" i="19"/>
  <c r="I2" i="19"/>
  <c r="H37" i="19"/>
  <c r="H32" i="19"/>
  <c r="H27" i="19"/>
  <c r="H22" i="19"/>
  <c r="H17" i="19"/>
  <c r="H12" i="19"/>
  <c r="H7" i="19"/>
  <c r="H2" i="19"/>
  <c r="G37" i="19"/>
  <c r="G32" i="19"/>
  <c r="G27" i="19"/>
  <c r="G22" i="19"/>
  <c r="G17" i="19"/>
  <c r="G12" i="19"/>
  <c r="G7" i="19"/>
  <c r="G2" i="19"/>
  <c r="F37" i="19"/>
  <c r="F32" i="19"/>
  <c r="F27" i="19"/>
  <c r="F22" i="19"/>
  <c r="F17" i="19"/>
  <c r="F12" i="19"/>
  <c r="F7" i="19"/>
  <c r="F2" i="19"/>
  <c r="E37" i="19"/>
  <c r="E32" i="19"/>
  <c r="E27" i="19"/>
  <c r="E22" i="19"/>
  <c r="E17" i="19"/>
  <c r="E12" i="19"/>
  <c r="E7" i="19"/>
  <c r="E2" i="19"/>
  <c r="AF23" i="30"/>
  <c r="AE23" i="30"/>
  <c r="AD23" i="30"/>
  <c r="AC23" i="30"/>
  <c r="AF22" i="30"/>
  <c r="AE22" i="30"/>
  <c r="AD22" i="30"/>
  <c r="AC22" i="30"/>
  <c r="X23" i="30"/>
  <c r="W23" i="30"/>
  <c r="V23" i="30"/>
  <c r="U23" i="30"/>
  <c r="X22" i="30"/>
  <c r="W22" i="30"/>
  <c r="V22" i="30"/>
  <c r="U22" i="30"/>
  <c r="AF17" i="30"/>
  <c r="AE17" i="30"/>
  <c r="AD17" i="30"/>
  <c r="AC17" i="30"/>
  <c r="AF16" i="30"/>
  <c r="AE16" i="30"/>
  <c r="AD16" i="30"/>
  <c r="AC16" i="30"/>
  <c r="X17" i="30"/>
  <c r="W17" i="30"/>
  <c r="V17" i="30"/>
  <c r="U17" i="30"/>
  <c r="X16" i="30"/>
  <c r="W16" i="30"/>
  <c r="V16" i="30"/>
  <c r="U16" i="30"/>
  <c r="AF11" i="30"/>
  <c r="AE11" i="30"/>
  <c r="AD11" i="30"/>
  <c r="AC11" i="30"/>
  <c r="AF10" i="30"/>
  <c r="AE10" i="30"/>
  <c r="AD10" i="30"/>
  <c r="AC10" i="30"/>
  <c r="X11" i="30"/>
  <c r="W11" i="30"/>
  <c r="V11" i="30"/>
  <c r="U11" i="30"/>
  <c r="X10" i="30"/>
  <c r="W10" i="30"/>
  <c r="V10" i="30"/>
  <c r="U10" i="30"/>
  <c r="AF5" i="30"/>
  <c r="AE5" i="30"/>
  <c r="AD5" i="30"/>
  <c r="AC5" i="30"/>
  <c r="AF4" i="30"/>
  <c r="AE4" i="30"/>
  <c r="AD4" i="30"/>
  <c r="AC4" i="30"/>
  <c r="X5" i="30"/>
  <c r="W5" i="30"/>
  <c r="V5" i="30"/>
  <c r="U5" i="30"/>
  <c r="X4" i="30"/>
  <c r="W4" i="30"/>
  <c r="V4" i="30"/>
  <c r="U4" i="30"/>
  <c r="AH35" i="30"/>
  <c r="AG35" i="30"/>
  <c r="AF35" i="30"/>
  <c r="AE35" i="30"/>
  <c r="AD35" i="30"/>
  <c r="AC35" i="30"/>
  <c r="AB35" i="30"/>
  <c r="AA35" i="30"/>
  <c r="Z35" i="30"/>
  <c r="Y35" i="30"/>
  <c r="V35" i="30"/>
  <c r="U35" i="30"/>
  <c r="T35" i="30"/>
  <c r="S35" i="30"/>
  <c r="B6" i="31"/>
  <c r="B16" i="31"/>
  <c r="D25" i="24"/>
  <c r="AH15" i="31"/>
  <c r="AH27" i="31"/>
  <c r="AG3" i="31"/>
  <c r="AG21" i="31"/>
  <c r="AG39" i="31"/>
  <c r="AD15" i="31"/>
  <c r="AD27" i="31"/>
  <c r="AE3" i="31"/>
  <c r="AE21" i="31"/>
  <c r="AE39" i="31"/>
  <c r="T5" i="18"/>
  <c r="T19" i="18"/>
  <c r="T22" i="18"/>
  <c r="T23" i="18"/>
  <c r="L5" i="31"/>
  <c r="N5" i="31"/>
  <c r="R8" i="31"/>
  <c r="T8" i="31"/>
  <c r="N11" i="31"/>
  <c r="L13" i="31"/>
  <c r="T13" i="31"/>
  <c r="R14" i="31"/>
  <c r="L17" i="31"/>
  <c r="N17" i="31"/>
  <c r="L20" i="31"/>
  <c r="L23" i="31"/>
  <c r="P25" i="31"/>
  <c r="L29" i="31"/>
  <c r="T29" i="31"/>
  <c r="T35" i="31"/>
  <c r="L37" i="31"/>
  <c r="P37" i="31"/>
  <c r="AA20" i="20"/>
  <c r="D34" i="24"/>
  <c r="C34" i="24"/>
  <c r="T32" i="18"/>
  <c r="T30" i="18"/>
  <c r="T28" i="18"/>
  <c r="T27" i="18"/>
  <c r="T24" i="18"/>
  <c r="T21" i="18"/>
  <c r="T18" i="18"/>
  <c r="T16" i="18"/>
  <c r="T15" i="18"/>
  <c r="T12" i="18"/>
  <c r="T9" i="18"/>
  <c r="T6" i="18"/>
  <c r="T3" i="18"/>
  <c r="S32" i="18"/>
  <c r="S31" i="18"/>
  <c r="S30" i="18"/>
  <c r="S27" i="18"/>
  <c r="S25" i="18"/>
  <c r="S24" i="18"/>
  <c r="S23" i="18"/>
  <c r="S22" i="18"/>
  <c r="S21" i="18"/>
  <c r="S19" i="18"/>
  <c r="S18" i="18"/>
  <c r="S17" i="18"/>
  <c r="S16" i="18"/>
  <c r="S15" i="18"/>
  <c r="S14" i="18"/>
  <c r="S12" i="18"/>
  <c r="S11" i="18"/>
  <c r="S9" i="18"/>
  <c r="S8" i="18"/>
  <c r="S7" i="18"/>
  <c r="S6" i="18"/>
  <c r="S3" i="18"/>
  <c r="AC39" i="31"/>
  <c r="AB39" i="31"/>
  <c r="AA39" i="31"/>
  <c r="Z39" i="31"/>
  <c r="Y39" i="31"/>
  <c r="X39" i="31"/>
  <c r="W39" i="31"/>
  <c r="V39" i="31"/>
  <c r="AH36" i="31"/>
  <c r="AG36" i="31"/>
  <c r="AF36" i="31"/>
  <c r="AE36" i="31"/>
  <c r="AC36" i="31"/>
  <c r="AB36" i="31"/>
  <c r="AA36" i="31"/>
  <c r="Z36" i="31"/>
  <c r="Y36" i="31"/>
  <c r="X36" i="31"/>
  <c r="W36" i="31"/>
  <c r="V36" i="31"/>
  <c r="AF33" i="31"/>
  <c r="AC33" i="31"/>
  <c r="AB33" i="31"/>
  <c r="AA33" i="31"/>
  <c r="Z33" i="31"/>
  <c r="Y33" i="31"/>
  <c r="X33" i="31"/>
  <c r="W33" i="31"/>
  <c r="V33" i="31"/>
  <c r="AH30" i="31"/>
  <c r="AD30" i="31"/>
  <c r="AC30" i="31"/>
  <c r="AB30" i="31"/>
  <c r="AA30" i="31"/>
  <c r="Z30" i="31"/>
  <c r="Y30" i="31"/>
  <c r="X30" i="31"/>
  <c r="W30" i="31"/>
  <c r="V30" i="31"/>
  <c r="AF27" i="31"/>
  <c r="AC27" i="31"/>
  <c r="AB27" i="31"/>
  <c r="AA27" i="31"/>
  <c r="Z27" i="31"/>
  <c r="Y27" i="31"/>
  <c r="X27" i="31"/>
  <c r="W27" i="31"/>
  <c r="V27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AF21" i="31"/>
  <c r="AC21" i="31"/>
  <c r="AB21" i="31"/>
  <c r="AA21" i="31"/>
  <c r="Z21" i="31"/>
  <c r="Y21" i="31"/>
  <c r="X21" i="31"/>
  <c r="W21" i="31"/>
  <c r="V21" i="31"/>
  <c r="AF18" i="31"/>
  <c r="AE18" i="31"/>
  <c r="AC18" i="31"/>
  <c r="AB18" i="31"/>
  <c r="AA18" i="31"/>
  <c r="Z18" i="31"/>
  <c r="Y18" i="31"/>
  <c r="X18" i="31"/>
  <c r="W18" i="31"/>
  <c r="V18" i="31"/>
  <c r="AC15" i="31"/>
  <c r="AB15" i="31"/>
  <c r="AA15" i="31"/>
  <c r="Z15" i="31"/>
  <c r="Y15" i="31"/>
  <c r="X15" i="31"/>
  <c r="W15" i="31"/>
  <c r="V15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AF9" i="31"/>
  <c r="AC9" i="31"/>
  <c r="AB9" i="31"/>
  <c r="AA9" i="31"/>
  <c r="Z9" i="31"/>
  <c r="Y9" i="31"/>
  <c r="X9" i="31"/>
  <c r="W9" i="31"/>
  <c r="V9" i="31"/>
  <c r="AE6" i="31"/>
  <c r="AC6" i="31"/>
  <c r="AB6" i="31"/>
  <c r="AA6" i="31"/>
  <c r="Z6" i="31"/>
  <c r="Y6" i="31"/>
  <c r="X6" i="31"/>
  <c r="W6" i="31"/>
  <c r="V6" i="31"/>
  <c r="AF3" i="31"/>
  <c r="AC3" i="31"/>
  <c r="AB3" i="31"/>
  <c r="AA3" i="31"/>
  <c r="Z3" i="31"/>
  <c r="Y3" i="31"/>
  <c r="X3" i="31"/>
  <c r="W3" i="31"/>
  <c r="V3" i="31"/>
  <c r="K3" i="31"/>
  <c r="K4" i="31"/>
  <c r="K5" i="31"/>
  <c r="R41" i="31"/>
  <c r="Q41" i="31"/>
  <c r="O41" i="31"/>
  <c r="K41" i="31"/>
  <c r="T40" i="31"/>
  <c r="S40" i="31"/>
  <c r="O40" i="31"/>
  <c r="N40" i="31"/>
  <c r="L40" i="31"/>
  <c r="K40" i="31"/>
  <c r="T39" i="31"/>
  <c r="S39" i="31"/>
  <c r="R39" i="31"/>
  <c r="Q39" i="31"/>
  <c r="P39" i="31"/>
  <c r="O39" i="31"/>
  <c r="N39" i="31"/>
  <c r="M39" i="31"/>
  <c r="L39" i="31"/>
  <c r="K39" i="31"/>
  <c r="S38" i="31"/>
  <c r="R38" i="31"/>
  <c r="O38" i="31"/>
  <c r="N38" i="31"/>
  <c r="K38" i="31"/>
  <c r="O37" i="31"/>
  <c r="N37" i="31"/>
  <c r="K37" i="31"/>
  <c r="T36" i="31"/>
  <c r="S36" i="31"/>
  <c r="R36" i="31"/>
  <c r="Q36" i="31"/>
  <c r="P36" i="31"/>
  <c r="O36" i="31"/>
  <c r="N36" i="31"/>
  <c r="M36" i="31"/>
  <c r="L36" i="31"/>
  <c r="K36" i="31"/>
  <c r="S35" i="31"/>
  <c r="O35" i="31"/>
  <c r="K35" i="31"/>
  <c r="T34" i="31"/>
  <c r="P34" i="31"/>
  <c r="O34" i="31"/>
  <c r="L34" i="31"/>
  <c r="K34" i="31"/>
  <c r="T33" i="31"/>
  <c r="S33" i="31"/>
  <c r="R33" i="31"/>
  <c r="Q33" i="31"/>
  <c r="P33" i="31"/>
  <c r="O33" i="31"/>
  <c r="N33" i="31"/>
  <c r="M33" i="31"/>
  <c r="L33" i="31"/>
  <c r="K33" i="31"/>
  <c r="S32" i="31"/>
  <c r="O32" i="31"/>
  <c r="L32" i="31"/>
  <c r="K32" i="31"/>
  <c r="O31" i="31"/>
  <c r="T30" i="31"/>
  <c r="S30" i="31"/>
  <c r="R30" i="31"/>
  <c r="Q30" i="31"/>
  <c r="P30" i="31"/>
  <c r="O30" i="31"/>
  <c r="N30" i="31"/>
  <c r="M30" i="31"/>
  <c r="L30" i="31"/>
  <c r="K30" i="31"/>
  <c r="S29" i="31"/>
  <c r="R29" i="31"/>
  <c r="O29" i="31"/>
  <c r="K29" i="31"/>
  <c r="S28" i="31"/>
  <c r="R28" i="31"/>
  <c r="Q28" i="31"/>
  <c r="O28" i="31"/>
  <c r="N28" i="31"/>
  <c r="K28" i="31"/>
  <c r="T27" i="31"/>
  <c r="S27" i="31"/>
  <c r="R27" i="31"/>
  <c r="Q27" i="31"/>
  <c r="P27" i="31"/>
  <c r="O27" i="31"/>
  <c r="N27" i="31"/>
  <c r="M27" i="31"/>
  <c r="L27" i="31"/>
  <c r="K27" i="31"/>
  <c r="T26" i="31"/>
  <c r="R26" i="31"/>
  <c r="Q26" i="31"/>
  <c r="P26" i="31"/>
  <c r="O26" i="31"/>
  <c r="N26" i="31"/>
  <c r="M26" i="31"/>
  <c r="L26" i="31"/>
  <c r="Q25" i="31"/>
  <c r="O25" i="31"/>
  <c r="N25" i="31"/>
  <c r="K25" i="31"/>
  <c r="T24" i="31"/>
  <c r="S24" i="31"/>
  <c r="R24" i="31"/>
  <c r="Q24" i="31"/>
  <c r="P24" i="31"/>
  <c r="O24" i="31"/>
  <c r="N24" i="31"/>
  <c r="M24" i="31"/>
  <c r="L24" i="31"/>
  <c r="K24" i="31"/>
  <c r="Q23" i="31"/>
  <c r="O23" i="31"/>
  <c r="K23" i="31"/>
  <c r="T22" i="31"/>
  <c r="S22" i="31"/>
  <c r="P22" i="31"/>
  <c r="O22" i="31"/>
  <c r="K22" i="31"/>
  <c r="T21" i="31"/>
  <c r="S21" i="31"/>
  <c r="R21" i="31"/>
  <c r="Q21" i="31"/>
  <c r="P21" i="31"/>
  <c r="O21" i="31"/>
  <c r="N21" i="31"/>
  <c r="M21" i="31"/>
  <c r="L21" i="31"/>
  <c r="K21" i="31"/>
  <c r="T20" i="31"/>
  <c r="O20" i="31"/>
  <c r="K20" i="31"/>
  <c r="O19" i="31"/>
  <c r="M19" i="31"/>
  <c r="K19" i="31"/>
  <c r="T18" i="31"/>
  <c r="S18" i="31"/>
  <c r="R18" i="31"/>
  <c r="Q18" i="31"/>
  <c r="P18" i="31"/>
  <c r="O18" i="31"/>
  <c r="N18" i="31"/>
  <c r="M18" i="31"/>
  <c r="L18" i="31"/>
  <c r="K18" i="31"/>
  <c r="S17" i="31"/>
  <c r="O17" i="31"/>
  <c r="K17" i="31"/>
  <c r="S16" i="31"/>
  <c r="Q16" i="31"/>
  <c r="O16" i="31"/>
  <c r="K16" i="31"/>
  <c r="T15" i="31"/>
  <c r="S15" i="31"/>
  <c r="R15" i="31"/>
  <c r="Q15" i="31"/>
  <c r="P15" i="31"/>
  <c r="O15" i="31"/>
  <c r="N15" i="31"/>
  <c r="M15" i="31"/>
  <c r="L15" i="31"/>
  <c r="K15" i="31"/>
  <c r="S14" i="31"/>
  <c r="Q14" i="31"/>
  <c r="O14" i="31"/>
  <c r="Q13" i="31"/>
  <c r="O13" i="31"/>
  <c r="K13" i="31"/>
  <c r="T12" i="31"/>
  <c r="S12" i="31"/>
  <c r="R12" i="31"/>
  <c r="Q12" i="31"/>
  <c r="P12" i="31"/>
  <c r="O12" i="31"/>
  <c r="N12" i="31"/>
  <c r="M12" i="31"/>
  <c r="L12" i="31"/>
  <c r="K12" i="31"/>
  <c r="O11" i="31"/>
  <c r="S10" i="31"/>
  <c r="Q10" i="31"/>
  <c r="O10" i="31"/>
  <c r="M10" i="31"/>
  <c r="T9" i="31"/>
  <c r="S9" i="31"/>
  <c r="R9" i="31"/>
  <c r="Q9" i="31"/>
  <c r="P9" i="31"/>
  <c r="O9" i="31"/>
  <c r="N9" i="31"/>
  <c r="M9" i="31"/>
  <c r="L9" i="31"/>
  <c r="K9" i="31"/>
  <c r="O8" i="31"/>
  <c r="K8" i="31"/>
  <c r="S7" i="31"/>
  <c r="O7" i="31"/>
  <c r="T6" i="31"/>
  <c r="S6" i="31"/>
  <c r="R6" i="31"/>
  <c r="Q6" i="31"/>
  <c r="P6" i="31"/>
  <c r="O6" i="31"/>
  <c r="N6" i="31"/>
  <c r="M6" i="31"/>
  <c r="L6" i="31"/>
  <c r="K6" i="31"/>
  <c r="S5" i="31"/>
  <c r="Q5" i="31"/>
  <c r="O5" i="31"/>
  <c r="Q4" i="31"/>
  <c r="O4" i="31"/>
  <c r="T3" i="31"/>
  <c r="S3" i="31"/>
  <c r="R3" i="31"/>
  <c r="Q3" i="31"/>
  <c r="P3" i="31"/>
  <c r="O3" i="31"/>
  <c r="N3" i="31"/>
  <c r="M3" i="31"/>
  <c r="L3" i="31"/>
  <c r="H39" i="31"/>
  <c r="G39" i="31"/>
  <c r="F39" i="31"/>
  <c r="E39" i="31"/>
  <c r="H36" i="31"/>
  <c r="G36" i="31"/>
  <c r="F36" i="31"/>
  <c r="E36" i="31"/>
  <c r="H33" i="31"/>
  <c r="G33" i="31"/>
  <c r="F33" i="31"/>
  <c r="E33" i="31"/>
  <c r="H30" i="31"/>
  <c r="G30" i="31"/>
  <c r="F30" i="31"/>
  <c r="E30" i="31"/>
  <c r="H27" i="31"/>
  <c r="G27" i="31"/>
  <c r="F27" i="31"/>
  <c r="E27" i="31"/>
  <c r="H24" i="31"/>
  <c r="G24" i="31"/>
  <c r="F24" i="31"/>
  <c r="E24" i="31"/>
  <c r="H21" i="31"/>
  <c r="G21" i="31"/>
  <c r="F21" i="31"/>
  <c r="E21" i="31"/>
  <c r="H18" i="31"/>
  <c r="G18" i="31"/>
  <c r="F18" i="31"/>
  <c r="E18" i="31"/>
  <c r="H15" i="31"/>
  <c r="G15" i="31"/>
  <c r="F15" i="31"/>
  <c r="E15" i="31"/>
  <c r="H12" i="31"/>
  <c r="G12" i="31"/>
  <c r="F12" i="31"/>
  <c r="E12" i="31"/>
  <c r="H9" i="31"/>
  <c r="G9" i="31"/>
  <c r="F9" i="31"/>
  <c r="E9" i="31"/>
  <c r="H6" i="31"/>
  <c r="G6" i="31"/>
  <c r="F6" i="31"/>
  <c r="E6" i="31"/>
  <c r="H3" i="31"/>
  <c r="G3" i="31"/>
  <c r="F3" i="31"/>
  <c r="E3" i="31"/>
  <c r="E3" i="18"/>
  <c r="F3" i="18"/>
  <c r="A50" i="31"/>
  <c r="A42" i="31"/>
  <c r="A22" i="31"/>
  <c r="B21" i="31"/>
  <c r="C18" i="31"/>
  <c r="B12" i="31"/>
  <c r="B10" i="31"/>
  <c r="B7" i="31"/>
  <c r="B5" i="31"/>
  <c r="B4" i="31"/>
  <c r="B3" i="31"/>
  <c r="I5" i="20"/>
  <c r="Y5" i="20"/>
  <c r="F24" i="20"/>
  <c r="F28" i="20"/>
  <c r="L24" i="20"/>
  <c r="L28" i="20"/>
  <c r="L32" i="20"/>
  <c r="R28" i="20"/>
  <c r="R32" i="20"/>
  <c r="G15" i="20"/>
  <c r="AI13" i="22"/>
  <c r="AI21" i="22"/>
  <c r="X32" i="22"/>
  <c r="AA4" i="21"/>
  <c r="AA12" i="21"/>
  <c r="AA16" i="21"/>
  <c r="AA28" i="21"/>
  <c r="AA36" i="21"/>
  <c r="V27" i="30"/>
  <c r="U27" i="30"/>
  <c r="T27" i="30"/>
  <c r="S27" i="30"/>
  <c r="E35" i="30"/>
  <c r="D35" i="30"/>
  <c r="C35" i="30"/>
  <c r="B35" i="30"/>
  <c r="E27" i="30"/>
  <c r="D27" i="30"/>
  <c r="C27" i="30"/>
  <c r="B27" i="30"/>
  <c r="E19" i="30"/>
  <c r="D19" i="30"/>
  <c r="C19" i="30"/>
  <c r="B19" i="30"/>
  <c r="E11" i="30"/>
  <c r="D11" i="30"/>
  <c r="C11" i="30"/>
  <c r="B11" i="30"/>
  <c r="L35" i="30"/>
  <c r="L27" i="30"/>
  <c r="L19" i="30"/>
  <c r="L11" i="30"/>
  <c r="L3" i="30"/>
  <c r="J3" i="30"/>
  <c r="AC27" i="30"/>
  <c r="AH27" i="30"/>
  <c r="AG27" i="30"/>
  <c r="AF27" i="30"/>
  <c r="AE27" i="30"/>
  <c r="AD27" i="30"/>
  <c r="AB27" i="30"/>
  <c r="AA27" i="30"/>
  <c r="Z27" i="30"/>
  <c r="Y27" i="30"/>
  <c r="Q35" i="30"/>
  <c r="P35" i="30"/>
  <c r="O35" i="30"/>
  <c r="N35" i="30"/>
  <c r="M35" i="30"/>
  <c r="K35" i="30"/>
  <c r="J35" i="30"/>
  <c r="I35" i="30"/>
  <c r="H35" i="30"/>
  <c r="Q27" i="30"/>
  <c r="P27" i="30"/>
  <c r="O27" i="30"/>
  <c r="N27" i="30"/>
  <c r="M27" i="30"/>
  <c r="K27" i="30"/>
  <c r="J27" i="30"/>
  <c r="I27" i="30"/>
  <c r="H27" i="30"/>
  <c r="Q19" i="30"/>
  <c r="P19" i="30"/>
  <c r="O19" i="30"/>
  <c r="N19" i="30"/>
  <c r="M19" i="30"/>
  <c r="K19" i="30"/>
  <c r="J19" i="30"/>
  <c r="I19" i="30"/>
  <c r="H19" i="30"/>
  <c r="Q11" i="30"/>
  <c r="P11" i="30"/>
  <c r="O11" i="30"/>
  <c r="N11" i="30"/>
  <c r="M11" i="30"/>
  <c r="K11" i="30"/>
  <c r="J11" i="30"/>
  <c r="I11" i="30"/>
  <c r="H11" i="30"/>
  <c r="Q3" i="30"/>
  <c r="P3" i="30"/>
  <c r="O3" i="30"/>
  <c r="N3" i="30"/>
  <c r="M3" i="30"/>
  <c r="K3" i="30"/>
  <c r="I3" i="30"/>
  <c r="H3" i="30"/>
  <c r="AF21" i="30"/>
  <c r="AE21" i="30"/>
  <c r="AD21" i="30"/>
  <c r="AC21" i="30"/>
  <c r="X21" i="30"/>
  <c r="W21" i="30"/>
  <c r="V21" i="30"/>
  <c r="U21" i="30"/>
  <c r="AF15" i="30"/>
  <c r="AE15" i="30"/>
  <c r="AD15" i="30"/>
  <c r="AC15" i="30"/>
  <c r="X15" i="30"/>
  <c r="W15" i="30"/>
  <c r="V15" i="30"/>
  <c r="U15" i="30"/>
  <c r="AF9" i="30"/>
  <c r="AE9" i="30"/>
  <c r="AD9" i="30"/>
  <c r="AC9" i="30"/>
  <c r="X9" i="30"/>
  <c r="W9" i="30"/>
  <c r="V9" i="30"/>
  <c r="U9" i="30"/>
  <c r="AF3" i="30"/>
  <c r="AE3" i="30"/>
  <c r="AD3" i="30"/>
  <c r="AC3" i="30"/>
  <c r="X3" i="30"/>
  <c r="W3" i="30"/>
  <c r="V3" i="30"/>
  <c r="U3" i="30"/>
  <c r="AB33" i="30"/>
  <c r="AA33" i="30"/>
  <c r="Z33" i="30"/>
  <c r="Y33" i="30"/>
  <c r="AB32" i="30"/>
  <c r="AA32" i="30"/>
  <c r="Z32" i="30"/>
  <c r="Y32" i="30"/>
  <c r="AB31" i="30"/>
  <c r="AA31" i="30"/>
  <c r="Z31" i="30"/>
  <c r="Y31" i="30"/>
  <c r="K41" i="30"/>
  <c r="J41" i="30"/>
  <c r="I41" i="30"/>
  <c r="H41" i="30"/>
  <c r="K40" i="30"/>
  <c r="J40" i="30"/>
  <c r="I40" i="30"/>
  <c r="H40" i="30"/>
  <c r="K39" i="30"/>
  <c r="J39" i="30"/>
  <c r="I39" i="30"/>
  <c r="H39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K25" i="30"/>
  <c r="J25" i="30"/>
  <c r="I25" i="30"/>
  <c r="H25" i="30"/>
  <c r="K24" i="30"/>
  <c r="J24" i="30"/>
  <c r="I24" i="30"/>
  <c r="H24" i="30"/>
  <c r="K23" i="30"/>
  <c r="J23" i="30"/>
  <c r="I23" i="30"/>
  <c r="H23" i="30"/>
  <c r="K17" i="30"/>
  <c r="J17" i="30"/>
  <c r="I17" i="30"/>
  <c r="H17" i="30"/>
  <c r="K16" i="30"/>
  <c r="J16" i="30"/>
  <c r="I16" i="30"/>
  <c r="H16" i="30"/>
  <c r="K15" i="30"/>
  <c r="J15" i="30"/>
  <c r="I15" i="30"/>
  <c r="H15" i="30"/>
  <c r="K9" i="30"/>
  <c r="J9" i="30"/>
  <c r="I9" i="30"/>
  <c r="H9" i="30"/>
  <c r="K8" i="30"/>
  <c r="J8" i="30"/>
  <c r="I8" i="30"/>
  <c r="H8" i="30"/>
  <c r="K7" i="30"/>
  <c r="J7" i="30"/>
  <c r="I7" i="30"/>
  <c r="H7" i="30"/>
  <c r="H4" i="30"/>
  <c r="E3" i="30"/>
  <c r="D3" i="30"/>
  <c r="C3" i="30"/>
  <c r="B3" i="30"/>
  <c r="R29" i="20"/>
  <c r="R27" i="20"/>
  <c r="R25" i="20"/>
  <c r="L29" i="20"/>
  <c r="L25" i="20"/>
  <c r="L23" i="20"/>
  <c r="F30" i="20"/>
  <c r="F25" i="20"/>
  <c r="Q18" i="20"/>
  <c r="K18" i="20"/>
  <c r="E5" i="20"/>
  <c r="F5" i="20"/>
  <c r="J5" i="20"/>
  <c r="V5" i="20"/>
  <c r="Z5" i="20"/>
  <c r="AI6" i="22"/>
  <c r="AI10" i="22"/>
  <c r="AI14" i="22"/>
  <c r="AI17" i="22"/>
  <c r="AI22" i="22"/>
  <c r="AI25" i="22"/>
  <c r="AI26" i="22"/>
  <c r="AE17" i="17"/>
  <c r="AA5" i="21"/>
  <c r="AA9" i="21"/>
  <c r="AA13" i="21"/>
  <c r="AA21" i="21"/>
  <c r="AA25" i="21"/>
  <c r="AA29" i="21"/>
  <c r="AA33" i="21"/>
  <c r="AA37" i="21"/>
  <c r="AA41" i="21"/>
  <c r="AA45" i="21"/>
  <c r="D2" i="26"/>
  <c r="B2" i="26"/>
  <c r="C4" i="27"/>
  <c r="C2" i="27"/>
  <c r="C54" i="25"/>
  <c r="C53" i="25"/>
  <c r="M46" i="24"/>
  <c r="X35" i="22"/>
  <c r="X34" i="22"/>
  <c r="Y32" i="22"/>
  <c r="X31" i="22"/>
  <c r="X30" i="22"/>
  <c r="AI27" i="22"/>
  <c r="AI24" i="22"/>
  <c r="AI16" i="22"/>
  <c r="AI15" i="22"/>
  <c r="AI11" i="22"/>
  <c r="AI8" i="22"/>
  <c r="AC47" i="21"/>
  <c r="AC46" i="21"/>
  <c r="AC45" i="21"/>
  <c r="AC44" i="21"/>
  <c r="AC35" i="21"/>
  <c r="AC34" i="21"/>
  <c r="AC33" i="21"/>
  <c r="AC32" i="21"/>
  <c r="AC31" i="21"/>
  <c r="AC30" i="21"/>
  <c r="AC26" i="21"/>
  <c r="AC25" i="21"/>
  <c r="AC20" i="21"/>
  <c r="AC19" i="21"/>
  <c r="AC17" i="21"/>
  <c r="AC16" i="21"/>
  <c r="AC12" i="21"/>
  <c r="AC11" i="21"/>
  <c r="AC6" i="21"/>
  <c r="AC5" i="21"/>
  <c r="AA47" i="21"/>
  <c r="AA38" i="21"/>
  <c r="AA31" i="21"/>
  <c r="AA26" i="21"/>
  <c r="AA24" i="21"/>
  <c r="AA15" i="21"/>
  <c r="AA11" i="21"/>
  <c r="AA10" i="21"/>
  <c r="AA8" i="21"/>
  <c r="AB47" i="21"/>
  <c r="AB46" i="21"/>
  <c r="AB45" i="2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1" i="21"/>
  <c r="AB30" i="2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AB17" i="21"/>
  <c r="AB16" i="21"/>
  <c r="AB15" i="21"/>
  <c r="AB14" i="21"/>
  <c r="AB13" i="21"/>
  <c r="AB12" i="21"/>
  <c r="AB11" i="21"/>
  <c r="AB10" i="21"/>
  <c r="AB9" i="21"/>
  <c r="AB8" i="21"/>
  <c r="AB7" i="21"/>
  <c r="AB6" i="21"/>
  <c r="AB5" i="21"/>
  <c r="AB4" i="21"/>
  <c r="T52" i="19"/>
  <c r="P52" i="19"/>
  <c r="AE8" i="17"/>
  <c r="E45" i="17"/>
  <c r="B42" i="17"/>
  <c r="S46" i="24"/>
  <c r="AF10" i="24"/>
  <c r="AE10" i="24"/>
  <c r="AD10" i="24"/>
  <c r="AC10" i="24"/>
  <c r="AB10" i="24"/>
  <c r="AA10" i="24"/>
  <c r="Z10" i="24"/>
  <c r="Y10" i="24"/>
  <c r="AF9" i="24"/>
  <c r="AE9" i="24"/>
  <c r="AD9" i="24"/>
  <c r="AC9" i="24"/>
  <c r="AB9" i="24"/>
  <c r="AA9" i="24"/>
  <c r="Z9" i="24"/>
  <c r="Y9" i="24"/>
  <c r="AF8" i="24"/>
  <c r="AE8" i="24"/>
  <c r="AD8" i="24"/>
  <c r="AC8" i="24"/>
  <c r="AB8" i="24"/>
  <c r="AA8" i="24"/>
  <c r="Z8" i="24"/>
  <c r="Y8" i="24"/>
  <c r="AF7" i="24"/>
  <c r="AE7" i="24"/>
  <c r="AD7" i="24"/>
  <c r="AC7" i="24"/>
  <c r="AB7" i="24"/>
  <c r="AA7" i="24"/>
  <c r="Z7" i="24"/>
  <c r="Y7" i="24"/>
  <c r="AF6" i="24"/>
  <c r="AE6" i="24"/>
  <c r="AD6" i="24"/>
  <c r="AC6" i="24"/>
  <c r="AB6" i="24"/>
  <c r="AA6" i="24"/>
  <c r="Z6" i="24"/>
  <c r="Y6" i="24"/>
  <c r="AF5" i="24"/>
  <c r="AE5" i="24"/>
  <c r="AD5" i="24"/>
  <c r="AC5" i="24"/>
  <c r="AB5" i="24"/>
  <c r="AA5" i="24"/>
  <c r="Z5" i="24"/>
  <c r="Y5" i="24"/>
  <c r="AF4" i="24"/>
  <c r="AE4" i="24"/>
  <c r="AD4" i="24"/>
  <c r="AC4" i="24"/>
  <c r="AB4" i="24"/>
  <c r="AA4" i="24"/>
  <c r="Z4" i="24"/>
  <c r="Y4" i="24"/>
  <c r="AF3" i="24"/>
  <c r="AE3" i="24"/>
  <c r="AD3" i="24"/>
  <c r="AC3" i="24"/>
  <c r="AB3" i="24"/>
  <c r="AA3" i="24"/>
  <c r="Z3" i="24"/>
  <c r="Y3" i="24"/>
  <c r="M25" i="25"/>
  <c r="M24" i="25"/>
  <c r="M23" i="25"/>
  <c r="M22" i="25"/>
  <c r="M19" i="25"/>
  <c r="M18" i="25"/>
  <c r="M17" i="25"/>
  <c r="M16" i="25"/>
  <c r="M15" i="25"/>
  <c r="M14" i="25"/>
  <c r="M13" i="25"/>
  <c r="M11" i="25"/>
  <c r="M10" i="25"/>
  <c r="M9" i="25"/>
  <c r="M8" i="25"/>
  <c r="M7" i="25"/>
  <c r="M6" i="25"/>
  <c r="M5" i="25"/>
  <c r="M4" i="25"/>
  <c r="M3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5" i="25"/>
  <c r="H14" i="25"/>
  <c r="H13" i="25"/>
  <c r="H12" i="25"/>
  <c r="H11" i="25"/>
  <c r="H10" i="25"/>
  <c r="H9" i="25"/>
  <c r="H8" i="25"/>
  <c r="H7" i="25"/>
  <c r="H6" i="25"/>
  <c r="H5" i="25"/>
  <c r="H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X5" i="22"/>
  <c r="W5" i="22"/>
  <c r="U4" i="22"/>
  <c r="AC31" i="20"/>
  <c r="AC30" i="20"/>
  <c r="AC29" i="20"/>
  <c r="AC28" i="20"/>
  <c r="AC27" i="20"/>
  <c r="AC26" i="20"/>
  <c r="AC25" i="20"/>
  <c r="AC24" i="20"/>
  <c r="AB31" i="20"/>
  <c r="AB30" i="20"/>
  <c r="AB29" i="20"/>
  <c r="AB28" i="20"/>
  <c r="AB27" i="20"/>
  <c r="AB26" i="20"/>
  <c r="AB25" i="20"/>
  <c r="AB24" i="20"/>
  <c r="AA31" i="20"/>
  <c r="AA30" i="20"/>
  <c r="AA29" i="20"/>
  <c r="AA28" i="20"/>
  <c r="AA27" i="20"/>
  <c r="AA26" i="20"/>
  <c r="AA25" i="20"/>
  <c r="AA24" i="20"/>
  <c r="Z31" i="20"/>
  <c r="Z30" i="20"/>
  <c r="Z29" i="20"/>
  <c r="Z28" i="20"/>
  <c r="Z27" i="20"/>
  <c r="Z26" i="20"/>
  <c r="Z25" i="20"/>
  <c r="Z24" i="20"/>
  <c r="B23" i="20"/>
  <c r="N15" i="20"/>
  <c r="G11" i="20"/>
  <c r="AA5" i="20"/>
  <c r="W5" i="20"/>
  <c r="S5" i="20"/>
  <c r="R5" i="20"/>
  <c r="O5" i="20"/>
  <c r="N5" i="20"/>
  <c r="L5" i="20"/>
  <c r="K5" i="20"/>
  <c r="H5" i="20"/>
  <c r="G5" i="20"/>
  <c r="V10" i="17" l="1"/>
  <c r="N9" i="17"/>
  <c r="P9" i="17"/>
  <c r="S10" i="17"/>
  <c r="T9" i="17"/>
  <c r="M10" i="17"/>
  <c r="U10" i="17"/>
  <c r="Q10" i="17"/>
  <c r="Q9" i="17"/>
  <c r="R9" i="17"/>
  <c r="AI30" i="18"/>
  <c r="T26" i="18"/>
  <c r="E4" i="20"/>
  <c r="B17" i="18"/>
  <c r="B18" i="18"/>
  <c r="B12" i="18"/>
  <c r="B20" i="18"/>
  <c r="W21" i="19"/>
  <c r="W22" i="19"/>
  <c r="W23" i="19"/>
  <c r="W24" i="19"/>
  <c r="Q23" i="19"/>
  <c r="Q24" i="19"/>
  <c r="Q25" i="19"/>
  <c r="Q26" i="19"/>
  <c r="S25" i="19"/>
  <c r="S26" i="19"/>
  <c r="U21" i="19"/>
  <c r="U22" i="19"/>
  <c r="W48" i="21"/>
  <c r="AA17" i="19"/>
  <c r="X26" i="19"/>
  <c r="X25" i="19"/>
  <c r="X24" i="19"/>
  <c r="X23" i="19"/>
  <c r="X22" i="19"/>
  <c r="X21" i="19"/>
  <c r="W26" i="19"/>
  <c r="W25" i="19"/>
  <c r="U26" i="19"/>
  <c r="U25" i="19"/>
  <c r="U24" i="19"/>
  <c r="U23" i="19"/>
  <c r="S24" i="19"/>
  <c r="S23" i="19"/>
  <c r="S22" i="19"/>
  <c r="S21" i="19"/>
  <c r="Q22" i="19"/>
  <c r="Q21" i="19"/>
  <c r="G49" i="19"/>
  <c r="G46" i="19"/>
  <c r="B9" i="18"/>
  <c r="AE12" i="17" l="1"/>
  <c r="AE11" i="17"/>
  <c r="AE9" i="17"/>
  <c r="AE5" i="17"/>
  <c r="AE4" i="17"/>
  <c r="Z12" i="17"/>
  <c r="Z10" i="17"/>
  <c r="Z8" i="17"/>
  <c r="Z7" i="17"/>
  <c r="Z6" i="17"/>
  <c r="Z5" i="17"/>
  <c r="M22" i="19"/>
  <c r="M27" i="19"/>
  <c r="C45" i="22"/>
  <c r="D45" i="22"/>
  <c r="F45" i="22"/>
  <c r="G45" i="22"/>
  <c r="C41" i="22"/>
  <c r="D41" i="22"/>
  <c r="G41" i="22"/>
  <c r="C43" i="22"/>
  <c r="F43" i="22"/>
  <c r="D39" i="22"/>
  <c r="F39" i="22"/>
  <c r="G39" i="22"/>
  <c r="C49" i="22"/>
  <c r="F49" i="22"/>
  <c r="F47" i="22"/>
  <c r="G47" i="22"/>
  <c r="C50" i="22"/>
  <c r="C48" i="22"/>
  <c r="F48" i="22"/>
  <c r="C46" i="22"/>
  <c r="D46" i="22"/>
  <c r="C44" i="22"/>
  <c r="C42" i="22"/>
  <c r="F42" i="22"/>
  <c r="G42" i="22"/>
  <c r="C40" i="22"/>
  <c r="D40" i="22"/>
  <c r="M10" i="22"/>
  <c r="N10" i="22"/>
  <c r="P10" i="22"/>
  <c r="Q10" i="22"/>
  <c r="M6" i="22"/>
  <c r="N6" i="22"/>
  <c r="P6" i="22"/>
  <c r="Q6" i="22"/>
  <c r="M4" i="22"/>
  <c r="P4" i="22"/>
  <c r="Q4" i="22"/>
  <c r="M14" i="22"/>
  <c r="N14" i="22"/>
  <c r="P14" i="22"/>
  <c r="Q14" i="22"/>
  <c r="N12" i="22"/>
  <c r="M15" i="22"/>
  <c r="N15" i="22"/>
  <c r="M13" i="22"/>
  <c r="N13" i="22"/>
  <c r="P13" i="22"/>
  <c r="Q13" i="22"/>
  <c r="M11" i="22"/>
  <c r="N11" i="22"/>
  <c r="P11" i="22"/>
  <c r="Q11" i="22"/>
  <c r="N9" i="22"/>
  <c r="P9" i="22"/>
  <c r="Q9" i="22"/>
  <c r="M7" i="22"/>
  <c r="P7" i="22"/>
  <c r="Q7" i="22"/>
  <c r="P5" i="22"/>
  <c r="Q5" i="22"/>
  <c r="M27" i="22"/>
  <c r="P27" i="22"/>
  <c r="M23" i="22"/>
  <c r="N23" i="22"/>
  <c r="P23" i="22"/>
  <c r="Q23" i="22"/>
  <c r="M25" i="22"/>
  <c r="N25" i="22"/>
  <c r="P25" i="22"/>
  <c r="Q25" i="22"/>
  <c r="P21" i="22"/>
  <c r="M31" i="22"/>
  <c r="N31" i="22"/>
  <c r="P31" i="22"/>
  <c r="Q31" i="22"/>
  <c r="M29" i="22"/>
  <c r="N29" i="22"/>
  <c r="P29" i="22"/>
  <c r="Q29" i="22"/>
  <c r="N32" i="22"/>
  <c r="P32" i="22"/>
  <c r="Q32" i="22"/>
  <c r="M30" i="22"/>
  <c r="P30" i="22"/>
  <c r="Q30" i="22"/>
  <c r="N28" i="22"/>
  <c r="M26" i="22"/>
  <c r="N26" i="22"/>
  <c r="P26" i="22"/>
  <c r="Q26" i="22"/>
  <c r="M24" i="22"/>
  <c r="P24" i="22"/>
  <c r="M22" i="22"/>
  <c r="N22" i="22"/>
  <c r="P22" i="22"/>
  <c r="M44" i="22"/>
  <c r="P44" i="22"/>
  <c r="Q44" i="22"/>
  <c r="M40" i="22"/>
  <c r="M42" i="22"/>
  <c r="P42" i="22"/>
  <c r="M38" i="22"/>
  <c r="N38" i="22"/>
  <c r="Q38" i="22"/>
  <c r="M48" i="22"/>
  <c r="P48" i="22"/>
  <c r="Q48" i="22"/>
  <c r="M46" i="22"/>
  <c r="N46" i="22"/>
  <c r="P46" i="22"/>
  <c r="N49" i="22"/>
  <c r="P49" i="22"/>
  <c r="M47" i="22"/>
  <c r="N47" i="22"/>
  <c r="P47" i="22"/>
  <c r="Q47" i="22"/>
  <c r="N45" i="22"/>
  <c r="P45" i="22"/>
  <c r="Q45" i="22"/>
  <c r="M43" i="22"/>
  <c r="N43" i="22"/>
  <c r="P43" i="22"/>
  <c r="M41" i="22"/>
  <c r="N41" i="22"/>
  <c r="P41" i="22"/>
  <c r="Q41" i="22"/>
  <c r="N39" i="22"/>
  <c r="P39" i="22"/>
  <c r="Q39" i="22"/>
  <c r="J17" i="24"/>
  <c r="T12" i="24"/>
  <c r="J18" i="24"/>
  <c r="J12" i="24"/>
  <c r="J20" i="24"/>
  <c r="J27" i="24"/>
  <c r="V8" i="19"/>
  <c r="Q7" i="19"/>
  <c r="Q8" i="19"/>
  <c r="S4" i="19"/>
  <c r="X6" i="19"/>
  <c r="X7" i="19"/>
  <c r="U6" i="19"/>
  <c r="U8" i="19"/>
  <c r="R7" i="19"/>
  <c r="W4" i="19"/>
  <c r="W5" i="19"/>
  <c r="N7" i="18"/>
  <c r="Q7" i="18"/>
  <c r="N8" i="18"/>
  <c r="O8" i="18"/>
  <c r="N10" i="18"/>
  <c r="O10" i="18"/>
  <c r="Q10" i="18"/>
  <c r="R10" i="18"/>
  <c r="N11" i="18"/>
  <c r="Q11" i="18"/>
  <c r="N13" i="18"/>
  <c r="Q13" i="18"/>
  <c r="N14" i="18"/>
  <c r="O14" i="18"/>
  <c r="Q14" i="18"/>
  <c r="N16" i="18"/>
  <c r="O16" i="18"/>
  <c r="Q16" i="18"/>
  <c r="Q17" i="18"/>
  <c r="R17" i="18"/>
  <c r="N19" i="18"/>
  <c r="O19" i="18"/>
  <c r="Q19" i="18"/>
  <c r="N20" i="18"/>
  <c r="Q20" i="18"/>
  <c r="R20" i="18"/>
  <c r="N22" i="18"/>
  <c r="O22" i="18"/>
  <c r="Q22" i="18"/>
  <c r="R22" i="18"/>
  <c r="N23" i="18"/>
  <c r="O23" i="18"/>
  <c r="Q23" i="18"/>
  <c r="N25" i="18"/>
  <c r="O25" i="18"/>
  <c r="Q25" i="18"/>
  <c r="N26" i="18"/>
  <c r="N28" i="18"/>
  <c r="Q28" i="18"/>
  <c r="N29" i="18"/>
  <c r="Q29" i="18"/>
  <c r="R29" i="18"/>
  <c r="N31" i="18"/>
  <c r="O31" i="18"/>
  <c r="R31" i="18"/>
  <c r="N32" i="18"/>
  <c r="O32" i="18"/>
  <c r="Q32" i="18"/>
  <c r="R32" i="18"/>
  <c r="P4" i="21"/>
  <c r="P7" i="21"/>
  <c r="P12" i="21"/>
  <c r="P13" i="21"/>
  <c r="P15" i="21"/>
  <c r="P20" i="21"/>
  <c r="P21" i="21"/>
  <c r="P23" i="21"/>
  <c r="P28" i="21"/>
  <c r="P29" i="21"/>
  <c r="P36" i="21"/>
  <c r="P39" i="21"/>
  <c r="P44" i="21"/>
  <c r="P47" i="21"/>
  <c r="M44" i="21"/>
  <c r="M45" i="21"/>
  <c r="M47" i="21"/>
  <c r="S4" i="21"/>
  <c r="S7" i="21"/>
  <c r="S20" i="21"/>
  <c r="S21" i="21"/>
  <c r="S23" i="21"/>
  <c r="S28" i="21"/>
  <c r="S29" i="21"/>
  <c r="S36" i="21"/>
  <c r="S39" i="21"/>
  <c r="S40" i="21"/>
  <c r="O4" i="21"/>
  <c r="O7" i="21"/>
  <c r="O8" i="21"/>
  <c r="O12" i="21"/>
  <c r="O13" i="21"/>
  <c r="O20" i="21"/>
  <c r="O21" i="21"/>
  <c r="O23" i="21"/>
  <c r="O28" i="21"/>
  <c r="O29" i="21"/>
  <c r="O31" i="21"/>
  <c r="O36" i="21"/>
  <c r="O44" i="21"/>
  <c r="Q4" i="21"/>
  <c r="Q7" i="21"/>
  <c r="Q8" i="21"/>
  <c r="Q12" i="21"/>
  <c r="Q15" i="21"/>
  <c r="Q20" i="21"/>
  <c r="Q21" i="21"/>
  <c r="Q23" i="21"/>
  <c r="Q28" i="21"/>
  <c r="Q29" i="21"/>
  <c r="Q31" i="21"/>
  <c r="Q32" i="21"/>
  <c r="Q36" i="21"/>
  <c r="Q37" i="21"/>
  <c r="Q40" i="21"/>
  <c r="Q44" i="21"/>
  <c r="T44" i="21"/>
  <c r="T47" i="21"/>
  <c r="R4" i="21"/>
  <c r="R12" i="21"/>
  <c r="R13" i="21"/>
  <c r="R16" i="21"/>
  <c r="R20" i="21"/>
  <c r="R21" i="21"/>
  <c r="R23" i="21"/>
  <c r="R28" i="21"/>
  <c r="R29" i="21"/>
  <c r="R31" i="21"/>
  <c r="R36" i="21"/>
  <c r="R39" i="21"/>
  <c r="R40" i="21"/>
  <c r="R44" i="21"/>
  <c r="V4" i="21"/>
  <c r="V5" i="21"/>
  <c r="V7" i="21"/>
  <c r="V8" i="21"/>
  <c r="V12" i="21"/>
  <c r="V13" i="21"/>
  <c r="V15" i="21"/>
  <c r="V16" i="21"/>
  <c r="V20" i="21"/>
  <c r="V23" i="21"/>
  <c r="V24" i="21"/>
  <c r="V29" i="21"/>
  <c r="V31" i="21"/>
  <c r="V32" i="21"/>
  <c r="V36" i="21"/>
  <c r="V44" i="21"/>
  <c r="V47" i="21"/>
  <c r="X4" i="21"/>
  <c r="X5" i="21"/>
  <c r="X7" i="21"/>
  <c r="X8" i="21"/>
  <c r="X12" i="21"/>
  <c r="X21" i="21"/>
  <c r="X28" i="21"/>
  <c r="X31" i="21"/>
  <c r="X36" i="21"/>
  <c r="X39" i="21"/>
  <c r="X44" i="21"/>
  <c r="X45" i="21"/>
  <c r="X47" i="21"/>
  <c r="W4" i="21"/>
  <c r="W5" i="21"/>
  <c r="W7" i="21"/>
  <c r="W8" i="21"/>
  <c r="W12" i="21"/>
  <c r="W15" i="21"/>
  <c r="W20" i="21"/>
  <c r="W23" i="21"/>
  <c r="W28" i="21"/>
  <c r="W29" i="21"/>
  <c r="W31" i="21"/>
  <c r="W32" i="21"/>
  <c r="W36" i="21"/>
  <c r="W40" i="21"/>
  <c r="W44" i="21"/>
  <c r="W47" i="21"/>
  <c r="O42" i="17"/>
  <c r="T27" i="24"/>
  <c r="T26" i="24"/>
  <c r="T25" i="24"/>
  <c r="U27" i="24"/>
  <c r="U26" i="24"/>
  <c r="U25" i="24"/>
  <c r="T23" i="24"/>
  <c r="S23" i="24"/>
  <c r="R23" i="24"/>
  <c r="Q23" i="24"/>
  <c r="O26" i="24"/>
  <c r="O25" i="24"/>
  <c r="O24" i="24"/>
  <c r="O23" i="24"/>
  <c r="P26" i="24"/>
  <c r="P25" i="24"/>
  <c r="P24" i="24"/>
  <c r="P23" i="24"/>
  <c r="J26" i="24"/>
  <c r="J25" i="24"/>
  <c r="J24" i="24"/>
  <c r="K27" i="24"/>
  <c r="K26" i="24"/>
  <c r="K25" i="24"/>
  <c r="K24" i="24"/>
  <c r="K23" i="24"/>
  <c r="T20" i="24"/>
  <c r="T19" i="24"/>
  <c r="T18" i="24"/>
  <c r="U20" i="24"/>
  <c r="U19" i="24"/>
  <c r="U18" i="24"/>
  <c r="T16" i="24"/>
  <c r="S16" i="24"/>
  <c r="R16" i="24"/>
  <c r="Q16" i="24"/>
  <c r="O19" i="24"/>
  <c r="O18" i="24"/>
  <c r="O17" i="24"/>
  <c r="O16" i="24"/>
  <c r="P19" i="24"/>
  <c r="P18" i="24"/>
  <c r="P17" i="24"/>
  <c r="P16" i="24"/>
  <c r="J19" i="24"/>
  <c r="K20" i="24"/>
  <c r="K19" i="24"/>
  <c r="K18" i="24"/>
  <c r="K17" i="24"/>
  <c r="K16" i="24"/>
  <c r="T13" i="24"/>
  <c r="T11" i="24"/>
  <c r="U13" i="24"/>
  <c r="U12" i="24"/>
  <c r="U11" i="24"/>
  <c r="T9" i="24"/>
  <c r="S9" i="24"/>
  <c r="R9" i="24"/>
  <c r="Q9" i="24"/>
  <c r="O12" i="24"/>
  <c r="O11" i="24"/>
  <c r="O10" i="24"/>
  <c r="O9" i="24"/>
  <c r="P12" i="24"/>
  <c r="P11" i="24"/>
  <c r="P10" i="24"/>
  <c r="P9" i="24"/>
  <c r="J13" i="24"/>
  <c r="J11" i="24"/>
  <c r="J10" i="24"/>
  <c r="K13" i="24"/>
  <c r="K12" i="24"/>
  <c r="K11" i="24"/>
  <c r="K10" i="24"/>
  <c r="K9" i="24"/>
  <c r="T6" i="24"/>
  <c r="T5" i="24"/>
  <c r="T4" i="24"/>
  <c r="T2" i="24"/>
  <c r="S2" i="24"/>
  <c r="R2" i="24"/>
  <c r="Q2" i="24"/>
  <c r="O5" i="24"/>
  <c r="O4" i="24"/>
  <c r="O3" i="24"/>
  <c r="O2" i="24"/>
  <c r="J6" i="24"/>
  <c r="J5" i="24"/>
  <c r="J4" i="24"/>
  <c r="J3" i="24"/>
  <c r="M17" i="19"/>
  <c r="E45" i="22"/>
  <c r="E41" i="22"/>
  <c r="F41" i="22"/>
  <c r="E43" i="22"/>
  <c r="G43" i="22"/>
  <c r="E39" i="22"/>
  <c r="E49" i="22"/>
  <c r="C47" i="22"/>
  <c r="E50" i="22"/>
  <c r="F50" i="22"/>
  <c r="G50" i="22"/>
  <c r="E48" i="22"/>
  <c r="E46" i="22"/>
  <c r="E44" i="22"/>
  <c r="F44" i="22"/>
  <c r="G44" i="22"/>
  <c r="E42" i="22"/>
  <c r="E40" i="22"/>
  <c r="F40" i="22"/>
  <c r="G40" i="22"/>
  <c r="O10" i="22"/>
  <c r="O6" i="22"/>
  <c r="P8" i="22"/>
  <c r="Q8" i="22"/>
  <c r="O4" i="22"/>
  <c r="O14" i="22"/>
  <c r="O12" i="22"/>
  <c r="P12" i="22"/>
  <c r="Q12" i="22"/>
  <c r="O15" i="22"/>
  <c r="P15" i="22"/>
  <c r="Q15" i="22"/>
  <c r="O13" i="22"/>
  <c r="O11" i="22"/>
  <c r="O9" i="22"/>
  <c r="O5" i="22"/>
  <c r="O27" i="22"/>
  <c r="Q27" i="22"/>
  <c r="O23" i="22"/>
  <c r="O25" i="22"/>
  <c r="M21" i="22"/>
  <c r="O21" i="22"/>
  <c r="O31" i="22"/>
  <c r="O29" i="22"/>
  <c r="M32" i="22"/>
  <c r="O32" i="22"/>
  <c r="O30" i="22"/>
  <c r="O28" i="22"/>
  <c r="P28" i="22"/>
  <c r="Q28" i="22"/>
  <c r="O26" i="22"/>
  <c r="O24" i="22"/>
  <c r="Q24" i="22"/>
  <c r="O22" i="22"/>
  <c r="Q22" i="22"/>
  <c r="O44" i="22"/>
  <c r="O40" i="22"/>
  <c r="P40" i="22"/>
  <c r="O42" i="22"/>
  <c r="O38" i="22"/>
  <c r="P38" i="22"/>
  <c r="O48" i="22"/>
  <c r="O46" i="22"/>
  <c r="Q46" i="22"/>
  <c r="O49" i="22"/>
  <c r="Q49" i="22"/>
  <c r="O47" i="22"/>
  <c r="O45" i="22"/>
  <c r="O43" i="22"/>
  <c r="Q43" i="22"/>
  <c r="O39" i="22"/>
  <c r="V5" i="19"/>
  <c r="V7" i="19"/>
  <c r="Q3" i="19"/>
  <c r="S3" i="19"/>
  <c r="X5" i="19"/>
  <c r="U5" i="19"/>
  <c r="U7" i="19"/>
  <c r="R3" i="19"/>
  <c r="P7" i="18"/>
  <c r="P8" i="18"/>
  <c r="Q8" i="18"/>
  <c r="R8" i="18"/>
  <c r="P10" i="18"/>
  <c r="P11" i="18"/>
  <c r="R11" i="18"/>
  <c r="P13" i="18"/>
  <c r="R13" i="18"/>
  <c r="P14" i="18"/>
  <c r="P16" i="18"/>
  <c r="R16" i="18"/>
  <c r="P17" i="18"/>
  <c r="P20" i="18"/>
  <c r="P22" i="18"/>
  <c r="P23" i="18"/>
  <c r="P25" i="18"/>
  <c r="R25" i="18"/>
  <c r="P26" i="18"/>
  <c r="Q26" i="18"/>
  <c r="R26" i="18"/>
  <c r="P28" i="18"/>
  <c r="P29" i="18"/>
  <c r="Q31" i="18"/>
  <c r="P32" i="18"/>
  <c r="P6" i="21"/>
  <c r="P14" i="21"/>
  <c r="P22" i="21"/>
  <c r="P24" i="21"/>
  <c r="P30" i="21"/>
  <c r="P31" i="21"/>
  <c r="P32" i="21"/>
  <c r="P46" i="21"/>
  <c r="M46" i="21"/>
  <c r="S22" i="21"/>
  <c r="S30" i="21"/>
  <c r="S38" i="21"/>
  <c r="O6" i="21"/>
  <c r="O14" i="21"/>
  <c r="O15" i="21"/>
  <c r="O16" i="21"/>
  <c r="O22" i="21"/>
  <c r="O30" i="21"/>
  <c r="O38" i="21"/>
  <c r="O46" i="21"/>
  <c r="O47" i="21"/>
  <c r="Q6" i="21"/>
  <c r="Q14" i="21"/>
  <c r="Q22" i="21"/>
  <c r="Q30" i="21"/>
  <c r="Q38" i="21"/>
  <c r="Q47" i="21"/>
  <c r="R6" i="21"/>
  <c r="R7" i="21"/>
  <c r="R8" i="21"/>
  <c r="R14" i="21"/>
  <c r="R15" i="21"/>
  <c r="R22" i="21"/>
  <c r="R30" i="21"/>
  <c r="R32" i="21"/>
  <c r="R38" i="21"/>
  <c r="R46" i="21"/>
  <c r="V6" i="21"/>
  <c r="V14" i="21"/>
  <c r="V22" i="21"/>
  <c r="V30" i="21"/>
  <c r="V38" i="21"/>
  <c r="V46" i="21"/>
  <c r="X6" i="21"/>
  <c r="X14" i="21"/>
  <c r="X15" i="21"/>
  <c r="X16" i="21"/>
  <c r="X22" i="21"/>
  <c r="X23" i="21"/>
  <c r="X24" i="21"/>
  <c r="X30" i="21"/>
  <c r="X32" i="21"/>
  <c r="X38" i="21"/>
  <c r="X40" i="21"/>
  <c r="X46" i="21"/>
  <c r="W6" i="21"/>
  <c r="W14" i="21"/>
  <c r="W22" i="21"/>
  <c r="W30" i="21"/>
  <c r="W38" i="21"/>
  <c r="W39" i="21"/>
  <c r="W46" i="21"/>
  <c r="I51" i="22"/>
  <c r="H51" i="22"/>
  <c r="G51" i="22"/>
  <c r="F51" i="22"/>
  <c r="E51" i="22"/>
  <c r="D51" i="22"/>
  <c r="C51" i="22"/>
  <c r="B51" i="22"/>
  <c r="M32" i="19"/>
  <c r="C39" i="22"/>
  <c r="H39" i="22"/>
  <c r="G49" i="22"/>
  <c r="H50" i="22"/>
  <c r="G48" i="22"/>
  <c r="H48" i="22"/>
  <c r="F46" i="22"/>
  <c r="H46" i="22"/>
  <c r="H44" i="22"/>
  <c r="H42" i="22"/>
  <c r="M8" i="22"/>
  <c r="R8" i="22"/>
  <c r="R4" i="22"/>
  <c r="R14" i="22"/>
  <c r="R11" i="22"/>
  <c r="R7" i="22"/>
  <c r="R5" i="22"/>
  <c r="R27" i="22"/>
  <c r="R23" i="22"/>
  <c r="Q21" i="22"/>
  <c r="R21" i="22"/>
  <c r="R31" i="22"/>
  <c r="R29" i="22"/>
  <c r="R28" i="22"/>
  <c r="R26" i="22"/>
  <c r="R44" i="22"/>
  <c r="Q42" i="22"/>
  <c r="R42" i="22"/>
  <c r="R38" i="22"/>
  <c r="R48" i="22"/>
  <c r="R49" i="22"/>
  <c r="M45" i="22"/>
  <c r="R39" i="22"/>
  <c r="Q4" i="19"/>
  <c r="S5" i="19"/>
  <c r="S6" i="19"/>
  <c r="X3" i="19"/>
  <c r="X8" i="19"/>
  <c r="K7" i="18"/>
  <c r="R7" i="18"/>
  <c r="K11" i="18"/>
  <c r="K14" i="18"/>
  <c r="R14" i="18"/>
  <c r="K16" i="18"/>
  <c r="K20" i="18"/>
  <c r="K22" i="18"/>
  <c r="R23" i="18"/>
  <c r="K25" i="18"/>
  <c r="R28" i="18"/>
  <c r="K31" i="18"/>
  <c r="K32" i="18"/>
  <c r="P8" i="21"/>
  <c r="P16" i="21"/>
  <c r="P17" i="21"/>
  <c r="P25" i="21"/>
  <c r="P41" i="21"/>
  <c r="S24" i="21"/>
  <c r="S31" i="21"/>
  <c r="S32" i="21"/>
  <c r="S41" i="21"/>
  <c r="O32" i="21"/>
  <c r="O33" i="21"/>
  <c r="O39" i="21"/>
  <c r="O40" i="21"/>
  <c r="O41" i="21"/>
  <c r="Q24" i="21"/>
  <c r="Q25" i="21"/>
  <c r="Q33" i="21"/>
  <c r="R9" i="21"/>
  <c r="R17" i="21"/>
  <c r="R24" i="21"/>
  <c r="R33" i="21"/>
  <c r="R41" i="21"/>
  <c r="R47" i="21"/>
  <c r="V9" i="21"/>
  <c r="V17" i="21"/>
  <c r="V25" i="21"/>
  <c r="V33" i="21"/>
  <c r="V39" i="21"/>
  <c r="V40" i="21"/>
  <c r="V41" i="21"/>
  <c r="X9" i="21"/>
  <c r="X17" i="21"/>
  <c r="X25" i="21"/>
  <c r="X33" i="21"/>
  <c r="X41" i="21"/>
  <c r="W9" i="21"/>
  <c r="W10" i="21"/>
  <c r="W17" i="21"/>
  <c r="W18" i="21"/>
  <c r="W25" i="21"/>
  <c r="W26" i="21"/>
  <c r="W33" i="21"/>
  <c r="W34" i="21"/>
  <c r="W41" i="21"/>
  <c r="W42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Z7" i="21"/>
  <c r="Z6" i="21"/>
  <c r="Z5" i="21"/>
  <c r="Z4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X43" i="21"/>
  <c r="X42" i="21"/>
  <c r="X37" i="21"/>
  <c r="X35" i="21"/>
  <c r="X34" i="21"/>
  <c r="X29" i="21"/>
  <c r="X27" i="21"/>
  <c r="X26" i="21"/>
  <c r="X20" i="21"/>
  <c r="X19" i="21"/>
  <c r="X18" i="21"/>
  <c r="X13" i="21"/>
  <c r="X11" i="21"/>
  <c r="X10" i="21"/>
  <c r="W45" i="21"/>
  <c r="W43" i="21"/>
  <c r="W37" i="21"/>
  <c r="W35" i="21"/>
  <c r="W27" i="21"/>
  <c r="W24" i="21"/>
  <c r="W21" i="21"/>
  <c r="W19" i="21"/>
  <c r="W16" i="21"/>
  <c r="W13" i="21"/>
  <c r="W11" i="21"/>
  <c r="V45" i="21"/>
  <c r="V43" i="21"/>
  <c r="V42" i="21"/>
  <c r="V37" i="21"/>
  <c r="V35" i="21"/>
  <c r="V34" i="21"/>
  <c r="V28" i="21"/>
  <c r="V27" i="21"/>
  <c r="V26" i="21"/>
  <c r="V21" i="21"/>
  <c r="V19" i="21"/>
  <c r="V18" i="21"/>
  <c r="V11" i="21"/>
  <c r="V10" i="21"/>
  <c r="M7" i="19"/>
  <c r="M12" i="19"/>
  <c r="D43" i="22"/>
  <c r="D48" i="22"/>
  <c r="G46" i="22"/>
  <c r="D42" i="22"/>
  <c r="N8" i="22"/>
  <c r="N4" i="22"/>
  <c r="M12" i="22"/>
  <c r="M5" i="22"/>
  <c r="N21" i="22"/>
  <c r="M28" i="22"/>
  <c r="N24" i="22"/>
  <c r="N40" i="22"/>
  <c r="N42" i="22"/>
  <c r="M49" i="22"/>
  <c r="M39" i="22"/>
  <c r="V6" i="19"/>
  <c r="R8" i="19"/>
  <c r="O7" i="18"/>
  <c r="O11" i="18"/>
  <c r="N17" i="18"/>
  <c r="O17" i="18"/>
  <c r="R19" i="18"/>
  <c r="O20" i="18"/>
  <c r="O26" i="18"/>
  <c r="O28" i="18"/>
  <c r="P5" i="21"/>
  <c r="P37" i="21"/>
  <c r="P40" i="21"/>
  <c r="P45" i="21"/>
  <c r="S37" i="21"/>
  <c r="O5" i="21"/>
  <c r="O37" i="21"/>
  <c r="O45" i="21"/>
  <c r="Q5" i="21"/>
  <c r="Q13" i="21"/>
  <c r="Q39" i="21"/>
  <c r="Q45" i="21"/>
  <c r="T45" i="21"/>
  <c r="R5" i="21"/>
  <c r="R37" i="21"/>
  <c r="R45" i="21"/>
  <c r="T46" i="21"/>
  <c r="S43" i="21"/>
  <c r="S42" i="21"/>
  <c r="S35" i="21"/>
  <c r="S34" i="21"/>
  <c r="S33" i="21"/>
  <c r="S27" i="21"/>
  <c r="S26" i="21"/>
  <c r="R43" i="21"/>
  <c r="R42" i="21"/>
  <c r="R35" i="21"/>
  <c r="R34" i="21"/>
  <c r="R27" i="21"/>
  <c r="R26" i="21"/>
  <c r="R25" i="21"/>
  <c r="R19" i="21"/>
  <c r="R18" i="21"/>
  <c r="R11" i="21"/>
  <c r="R10" i="21"/>
  <c r="Q46" i="21"/>
  <c r="Q43" i="21"/>
  <c r="Q42" i="21"/>
  <c r="Q41" i="21"/>
  <c r="Q35" i="21"/>
  <c r="Q34" i="21"/>
  <c r="Q27" i="21"/>
  <c r="Q26" i="21"/>
  <c r="Q19" i="21"/>
  <c r="Q18" i="21"/>
  <c r="Q17" i="21"/>
  <c r="Q16" i="21"/>
  <c r="Q11" i="21"/>
  <c r="Q10" i="21"/>
  <c r="Q9" i="21"/>
  <c r="P43" i="21"/>
  <c r="P42" i="21"/>
  <c r="P38" i="21"/>
  <c r="P35" i="21"/>
  <c r="P34" i="21"/>
  <c r="P33" i="21"/>
  <c r="P27" i="21"/>
  <c r="P26" i="21"/>
  <c r="P19" i="21"/>
  <c r="P18" i="21"/>
  <c r="P11" i="21"/>
  <c r="P10" i="21"/>
  <c r="P9" i="21"/>
  <c r="O43" i="21"/>
  <c r="O42" i="21"/>
  <c r="O35" i="21"/>
  <c r="O34" i="21"/>
  <c r="O27" i="21"/>
  <c r="O26" i="21"/>
  <c r="O25" i="21"/>
  <c r="O24" i="21"/>
  <c r="O19" i="21"/>
  <c r="O18" i="21"/>
  <c r="O17" i="21"/>
  <c r="O11" i="21"/>
  <c r="O10" i="21"/>
  <c r="O9" i="21"/>
  <c r="N41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F47" i="21"/>
  <c r="F46" i="21"/>
  <c r="F45" i="21"/>
  <c r="F44" i="21"/>
  <c r="F38" i="21"/>
  <c r="F36" i="21"/>
  <c r="F31" i="21"/>
  <c r="F30" i="21"/>
  <c r="F25" i="21"/>
  <c r="F24" i="21"/>
  <c r="F19" i="21"/>
  <c r="F18" i="21"/>
  <c r="F17" i="21"/>
  <c r="F16" i="21"/>
  <c r="F11" i="21"/>
  <c r="F10" i="21"/>
  <c r="F5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1" i="21"/>
  <c r="E30" i="21"/>
  <c r="E29" i="21"/>
  <c r="E28" i="21"/>
  <c r="E27" i="21"/>
  <c r="E26" i="21"/>
  <c r="E25" i="21"/>
  <c r="E24" i="21"/>
  <c r="E23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7" i="21"/>
  <c r="E6" i="21"/>
  <c r="E5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E47" i="22"/>
  <c r="O8" i="22"/>
  <c r="M9" i="22"/>
  <c r="O7" i="22"/>
  <c r="Q40" i="22"/>
  <c r="O41" i="22"/>
  <c r="W3" i="19"/>
  <c r="P19" i="18"/>
  <c r="P31" i="18"/>
  <c r="M2" i="19"/>
  <c r="M37" i="19"/>
  <c r="B43" i="22"/>
  <c r="I43" i="22"/>
  <c r="I39" i="22"/>
  <c r="I49" i="22"/>
  <c r="B47" i="22"/>
  <c r="I47" i="22"/>
  <c r="I48" i="22"/>
  <c r="B46" i="22"/>
  <c r="I46" i="22"/>
  <c r="I44" i="22"/>
  <c r="B42" i="22"/>
  <c r="I42" i="22"/>
  <c r="I40" i="22"/>
  <c r="L8" i="22"/>
  <c r="L4" i="22"/>
  <c r="S4" i="22"/>
  <c r="L12" i="22"/>
  <c r="L13" i="22"/>
  <c r="S11" i="22"/>
  <c r="L9" i="22"/>
  <c r="L5" i="22"/>
  <c r="S5" i="22"/>
  <c r="L27" i="22"/>
  <c r="S27" i="22"/>
  <c r="L23" i="22"/>
  <c r="S23" i="22"/>
  <c r="S25" i="22"/>
  <c r="S21" i="22"/>
  <c r="L31" i="22"/>
  <c r="S31" i="22"/>
  <c r="L30" i="22"/>
  <c r="S30" i="22"/>
  <c r="S28" i="22"/>
  <c r="L26" i="22"/>
  <c r="S26" i="22"/>
  <c r="S24" i="22"/>
  <c r="L22" i="22"/>
  <c r="S22" i="22"/>
  <c r="L44" i="22"/>
  <c r="S44" i="22"/>
  <c r="L40" i="22"/>
  <c r="S40" i="22"/>
  <c r="S42" i="22"/>
  <c r="L48" i="22"/>
  <c r="S48" i="22"/>
  <c r="S46" i="22"/>
  <c r="L49" i="22"/>
  <c r="S49" i="22"/>
  <c r="S47" i="22"/>
  <c r="L45" i="22"/>
  <c r="S45" i="22"/>
  <c r="S43" i="22"/>
  <c r="L41" i="22"/>
  <c r="S41" i="22"/>
  <c r="V4" i="19"/>
  <c r="Q5" i="19"/>
  <c r="S8" i="19"/>
  <c r="U4" i="19"/>
  <c r="R6" i="19"/>
  <c r="W7" i="19"/>
  <c r="L7" i="18"/>
  <c r="M7" i="18"/>
  <c r="L8" i="18"/>
  <c r="M8" i="18"/>
  <c r="L11" i="18"/>
  <c r="L13" i="18"/>
  <c r="L14" i="18"/>
  <c r="M14" i="18"/>
  <c r="L16" i="18"/>
  <c r="L19" i="18"/>
  <c r="L20" i="18"/>
  <c r="L22" i="18"/>
  <c r="M22" i="18"/>
  <c r="L25" i="18"/>
  <c r="L26" i="18"/>
  <c r="L28" i="18"/>
  <c r="M28" i="18"/>
  <c r="M31" i="18"/>
  <c r="M32" i="18"/>
  <c r="D47" i="22"/>
  <c r="D50" i="22"/>
  <c r="N5" i="22"/>
  <c r="N27" i="22"/>
  <c r="N44" i="22"/>
  <c r="N48" i="22"/>
  <c r="X4" i="19"/>
  <c r="M10" i="18"/>
  <c r="M13" i="18"/>
  <c r="M16" i="18"/>
  <c r="M17" i="18"/>
  <c r="M19" i="18"/>
  <c r="M20" i="18"/>
  <c r="M23" i="18"/>
  <c r="M25" i="18"/>
  <c r="M26" i="18"/>
  <c r="M29" i="18"/>
  <c r="O29" i="18"/>
  <c r="B1" i="17"/>
  <c r="D49" i="22"/>
  <c r="D44" i="22"/>
  <c r="N7" i="22"/>
  <c r="N30" i="22"/>
  <c r="O13" i="18"/>
  <c r="S50" i="22"/>
  <c r="R50" i="22"/>
  <c r="Q50" i="22"/>
  <c r="P50" i="22"/>
  <c r="O50" i="22"/>
  <c r="N50" i="22"/>
  <c r="M50" i="22"/>
  <c r="R47" i="22"/>
  <c r="R46" i="22"/>
  <c r="R45" i="22"/>
  <c r="R43" i="22"/>
  <c r="R41" i="22"/>
  <c r="R40" i="22"/>
  <c r="S39" i="22"/>
  <c r="S38" i="22"/>
  <c r="S37" i="22"/>
  <c r="R37" i="22"/>
  <c r="Q37" i="22"/>
  <c r="P37" i="22"/>
  <c r="O37" i="22"/>
  <c r="N37" i="22"/>
  <c r="M37" i="22"/>
  <c r="S33" i="22"/>
  <c r="R33" i="22"/>
  <c r="Q33" i="22"/>
  <c r="P33" i="22"/>
  <c r="O33" i="22"/>
  <c r="N33" i="22"/>
  <c r="M33" i="22"/>
  <c r="S32" i="22"/>
  <c r="R32" i="22"/>
  <c r="R30" i="22"/>
  <c r="S29" i="22"/>
  <c r="R25" i="22"/>
  <c r="R24" i="22"/>
  <c r="R22" i="22"/>
  <c r="S20" i="22"/>
  <c r="R20" i="22"/>
  <c r="Q20" i="22"/>
  <c r="P20" i="22"/>
  <c r="O20" i="22"/>
  <c r="N20" i="22"/>
  <c r="M20" i="22"/>
  <c r="S16" i="22"/>
  <c r="R16" i="22"/>
  <c r="Q16" i="22"/>
  <c r="P16" i="22"/>
  <c r="O16" i="22"/>
  <c r="N16" i="22"/>
  <c r="M16" i="22"/>
  <c r="S15" i="22"/>
  <c r="R15" i="22"/>
  <c r="S14" i="22"/>
  <c r="S13" i="22"/>
  <c r="R13" i="22"/>
  <c r="S12" i="22"/>
  <c r="R12" i="22"/>
  <c r="S10" i="22"/>
  <c r="R10" i="22"/>
  <c r="S9" i="22"/>
  <c r="R9" i="22"/>
  <c r="S8" i="22"/>
  <c r="S7" i="22"/>
  <c r="S6" i="22"/>
  <c r="R6" i="22"/>
  <c r="L50" i="22"/>
  <c r="L47" i="22"/>
  <c r="L46" i="22"/>
  <c r="L43" i="22"/>
  <c r="L42" i="22"/>
  <c r="L39" i="22"/>
  <c r="L38" i="22"/>
  <c r="L37" i="22"/>
  <c r="L33" i="22"/>
  <c r="L32" i="22"/>
  <c r="L29" i="22"/>
  <c r="L28" i="22"/>
  <c r="L25" i="22"/>
  <c r="L24" i="22"/>
  <c r="L21" i="22"/>
  <c r="L20" i="22"/>
  <c r="L16" i="22"/>
  <c r="L15" i="22"/>
  <c r="L14" i="22"/>
  <c r="L11" i="22"/>
  <c r="L10" i="22"/>
  <c r="L7" i="22"/>
  <c r="L6" i="22"/>
  <c r="S3" i="22"/>
  <c r="R3" i="22"/>
  <c r="Q3" i="22"/>
  <c r="P3" i="22"/>
  <c r="O3" i="22"/>
  <c r="N3" i="22"/>
  <c r="M3" i="22"/>
  <c r="L3" i="22"/>
  <c r="I50" i="22"/>
  <c r="B50" i="22"/>
  <c r="H49" i="22"/>
  <c r="B49" i="22"/>
  <c r="B48" i="22"/>
  <c r="H47" i="22"/>
  <c r="I45" i="22"/>
  <c r="H45" i="22"/>
  <c r="B45" i="22"/>
  <c r="B44" i="22"/>
  <c r="H43" i="22"/>
  <c r="I41" i="22"/>
  <c r="H41" i="22"/>
  <c r="B41" i="22"/>
  <c r="H40" i="22"/>
  <c r="B40" i="22"/>
  <c r="B39" i="22"/>
  <c r="I38" i="22"/>
  <c r="H38" i="22"/>
  <c r="G38" i="22"/>
  <c r="F38" i="22"/>
  <c r="E38" i="22"/>
  <c r="D38" i="22"/>
  <c r="C38" i="22"/>
  <c r="B38" i="22"/>
  <c r="K4" i="21"/>
  <c r="J4" i="21"/>
  <c r="I4" i="21"/>
  <c r="H4" i="21"/>
  <c r="G4" i="21"/>
  <c r="F4" i="21"/>
  <c r="E4" i="21"/>
  <c r="D4" i="21"/>
  <c r="C4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N40" i="19"/>
  <c r="N39" i="19"/>
  <c r="N38" i="19"/>
  <c r="N35" i="19"/>
  <c r="N34" i="19"/>
  <c r="N33" i="19"/>
  <c r="N30" i="19"/>
  <c r="N29" i="19"/>
  <c r="N28" i="19"/>
  <c r="N25" i="19"/>
  <c r="N24" i="19"/>
  <c r="N23" i="19"/>
  <c r="N20" i="19"/>
  <c r="N19" i="19"/>
  <c r="N18" i="19"/>
  <c r="N15" i="19"/>
  <c r="N14" i="19"/>
  <c r="N13" i="19"/>
  <c r="N10" i="19"/>
  <c r="N9" i="19"/>
  <c r="N8" i="19"/>
  <c r="N5" i="19"/>
  <c r="N4" i="19"/>
  <c r="N3" i="19"/>
  <c r="X16" i="19"/>
  <c r="X15" i="19"/>
  <c r="X14" i="19"/>
  <c r="X13" i="19"/>
  <c r="X12" i="19"/>
  <c r="X11" i="19"/>
  <c r="W16" i="19"/>
  <c r="W15" i="19"/>
  <c r="W14" i="19"/>
  <c r="W13" i="19"/>
  <c r="W12" i="19"/>
  <c r="W11" i="19"/>
  <c r="V16" i="19"/>
  <c r="V15" i="19"/>
  <c r="V14" i="19"/>
  <c r="V13" i="19"/>
  <c r="V12" i="19"/>
  <c r="V11" i="19"/>
  <c r="U16" i="19"/>
  <c r="U15" i="19"/>
  <c r="U14" i="19"/>
  <c r="U13" i="19"/>
  <c r="U12" i="19"/>
  <c r="U11" i="19"/>
  <c r="T16" i="19"/>
  <c r="T15" i="19"/>
  <c r="T14" i="19"/>
  <c r="T13" i="19"/>
  <c r="T12" i="19"/>
  <c r="T11" i="19"/>
  <c r="S16" i="19"/>
  <c r="S15" i="19"/>
  <c r="S14" i="19"/>
  <c r="S13" i="19"/>
  <c r="S12" i="19"/>
  <c r="S11" i="19"/>
  <c r="R16" i="19"/>
  <c r="R15" i="19"/>
  <c r="R14" i="19"/>
  <c r="R13" i="19"/>
  <c r="R12" i="19"/>
  <c r="R11" i="19"/>
  <c r="Q16" i="19"/>
  <c r="Q15" i="19"/>
  <c r="Q14" i="19"/>
  <c r="Q13" i="19"/>
  <c r="Q12" i="19"/>
  <c r="Q11" i="19"/>
  <c r="W8" i="19"/>
  <c r="W6" i="19"/>
  <c r="V3" i="19"/>
  <c r="U3" i="19"/>
  <c r="T8" i="19"/>
  <c r="T7" i="19"/>
  <c r="T6" i="19"/>
  <c r="T5" i="19"/>
  <c r="T4" i="19"/>
  <c r="T3" i="19"/>
  <c r="S7" i="19"/>
  <c r="R5" i="19"/>
  <c r="R4" i="19"/>
  <c r="Q6" i="19"/>
  <c r="U35" i="19"/>
  <c r="U34" i="19"/>
  <c r="U33" i="19"/>
  <c r="U32" i="19"/>
  <c r="U31" i="19"/>
  <c r="U30" i="19"/>
  <c r="T35" i="19"/>
  <c r="T34" i="19"/>
  <c r="T33" i="19"/>
  <c r="T32" i="19"/>
  <c r="T30" i="19"/>
  <c r="T31" i="19"/>
  <c r="S35" i="19"/>
  <c r="S34" i="19"/>
  <c r="S33" i="19"/>
  <c r="S32" i="19"/>
  <c r="S31" i="19"/>
  <c r="S30" i="19"/>
  <c r="R35" i="19"/>
  <c r="R34" i="19"/>
  <c r="R33" i="19"/>
  <c r="R32" i="19"/>
  <c r="R31" i="19"/>
  <c r="R30" i="19"/>
  <c r="Q35" i="19"/>
  <c r="Q34" i="19"/>
  <c r="Q33" i="19"/>
  <c r="Q32" i="19"/>
  <c r="Q31" i="19"/>
  <c r="Q30" i="19"/>
  <c r="L32" i="18"/>
  <c r="L31" i="18"/>
  <c r="R30" i="18"/>
  <c r="Q30" i="18"/>
  <c r="P30" i="18"/>
  <c r="O30" i="18"/>
  <c r="N30" i="18"/>
  <c r="M30" i="18"/>
  <c r="L30" i="18"/>
  <c r="K30" i="18"/>
  <c r="L29" i="18"/>
  <c r="K29" i="18"/>
  <c r="K28" i="18"/>
  <c r="R27" i="18"/>
  <c r="Q27" i="18"/>
  <c r="P27" i="18"/>
  <c r="O27" i="18"/>
  <c r="N27" i="18"/>
  <c r="M27" i="18"/>
  <c r="L27" i="18"/>
  <c r="K27" i="18"/>
  <c r="K26" i="18"/>
  <c r="R24" i="18"/>
  <c r="Q24" i="18"/>
  <c r="P24" i="18"/>
  <c r="O24" i="18"/>
  <c r="N24" i="18"/>
  <c r="M24" i="18"/>
  <c r="L24" i="18"/>
  <c r="K24" i="18"/>
  <c r="L23" i="18"/>
  <c r="K23" i="18"/>
  <c r="R21" i="18"/>
  <c r="Q21" i="18"/>
  <c r="P21" i="18"/>
  <c r="O21" i="18"/>
  <c r="N21" i="18"/>
  <c r="M21" i="18"/>
  <c r="L21" i="18"/>
  <c r="K21" i="18"/>
  <c r="K19" i="18"/>
  <c r="R18" i="18"/>
  <c r="Q18" i="18"/>
  <c r="P18" i="18"/>
  <c r="O18" i="18"/>
  <c r="N18" i="18"/>
  <c r="M18" i="18"/>
  <c r="L18" i="18"/>
  <c r="K18" i="18"/>
  <c r="L17" i="18"/>
  <c r="K17" i="18"/>
  <c r="R15" i="18"/>
  <c r="Q15" i="18"/>
  <c r="P15" i="18"/>
  <c r="O15" i="18"/>
  <c r="N15" i="18"/>
  <c r="M15" i="18"/>
  <c r="L15" i="18"/>
  <c r="K15" i="18"/>
  <c r="K13" i="18"/>
  <c r="R12" i="18"/>
  <c r="Q12" i="18"/>
  <c r="P12" i="18"/>
  <c r="O12" i="18"/>
  <c r="N12" i="18"/>
  <c r="M12" i="18"/>
  <c r="L12" i="18"/>
  <c r="K12" i="18"/>
  <c r="M11" i="18"/>
  <c r="L10" i="18"/>
  <c r="K10" i="18"/>
  <c r="R9" i="18"/>
  <c r="Q9" i="18"/>
  <c r="P9" i="18"/>
  <c r="O9" i="18"/>
  <c r="N9" i="18"/>
  <c r="M9" i="18"/>
  <c r="L9" i="18"/>
  <c r="K9" i="18"/>
  <c r="K8" i="18"/>
  <c r="R6" i="18"/>
  <c r="Q6" i="18"/>
  <c r="P6" i="18"/>
  <c r="O6" i="18"/>
  <c r="N6" i="18"/>
  <c r="M6" i="18"/>
  <c r="L6" i="18"/>
  <c r="K6" i="18"/>
  <c r="R4" i="18" l="1"/>
  <c r="Q4" i="18"/>
  <c r="P4" i="18"/>
  <c r="O4" i="18"/>
  <c r="N4" i="18"/>
  <c r="M4" i="18"/>
  <c r="L4" i="18"/>
  <c r="K4" i="18"/>
  <c r="R3" i="18"/>
  <c r="Q3" i="18"/>
  <c r="P3" i="18"/>
  <c r="N3" i="18"/>
  <c r="M3" i="18"/>
  <c r="L3" i="18"/>
  <c r="K3" i="18"/>
  <c r="AF9" i="18"/>
  <c r="AF15" i="18"/>
  <c r="AF18" i="18"/>
  <c r="AH9" i="18"/>
  <c r="AH15" i="18"/>
  <c r="AH18" i="18"/>
  <c r="AG15" i="18"/>
  <c r="AG18" i="18"/>
  <c r="AG21" i="18"/>
  <c r="AD9" i="18"/>
  <c r="AD15" i="18"/>
  <c r="AD18" i="18"/>
  <c r="AE15" i="18"/>
  <c r="AE18" i="18"/>
  <c r="AE21" i="18"/>
  <c r="A42" i="18"/>
  <c r="A22" i="18"/>
  <c r="AH30" i="18"/>
  <c r="AH27" i="18"/>
  <c r="AH24" i="18"/>
  <c r="AH21" i="18"/>
  <c r="AH12" i="18"/>
  <c r="AH6" i="18"/>
  <c r="AG30" i="18"/>
  <c r="AG27" i="18"/>
  <c r="AG24" i="18"/>
  <c r="AG12" i="18"/>
  <c r="AG9" i="18"/>
  <c r="AG6" i="18"/>
  <c r="AF30" i="18"/>
  <c r="AF27" i="18"/>
  <c r="AF24" i="18"/>
  <c r="AF21" i="18"/>
  <c r="AF12" i="18"/>
  <c r="AF6" i="18"/>
  <c r="AE30" i="18"/>
  <c r="AE27" i="18"/>
  <c r="AE24" i="18"/>
  <c r="AE12" i="18"/>
  <c r="AE9" i="18"/>
  <c r="AE6" i="18"/>
  <c r="AD30" i="18"/>
  <c r="AD27" i="18"/>
  <c r="AD24" i="18"/>
  <c r="AD21" i="18"/>
  <c r="AD12" i="18"/>
  <c r="AD6" i="18"/>
  <c r="AC30" i="18"/>
  <c r="AC27" i="18"/>
  <c r="AC24" i="18"/>
  <c r="AC21" i="18"/>
  <c r="AC18" i="18"/>
  <c r="AC15" i="18"/>
  <c r="AC12" i="18"/>
  <c r="AC9" i="18"/>
  <c r="AC6" i="18"/>
  <c r="AH3" i="18"/>
  <c r="AG3" i="18"/>
  <c r="AF3" i="18"/>
  <c r="AE3" i="18"/>
  <c r="AD3" i="18"/>
  <c r="AC3" i="18"/>
  <c r="AB30" i="18"/>
  <c r="AB27" i="18"/>
  <c r="AB24" i="18"/>
  <c r="AB21" i="18"/>
  <c r="AB18" i="18"/>
  <c r="AB15" i="18"/>
  <c r="AB12" i="18"/>
  <c r="AB9" i="18"/>
  <c r="AB6" i="18"/>
  <c r="AA30" i="18"/>
  <c r="AA27" i="18"/>
  <c r="AA24" i="18"/>
  <c r="AA21" i="18"/>
  <c r="AA18" i="18"/>
  <c r="AA15" i="18"/>
  <c r="AA12" i="18"/>
  <c r="AA9" i="18"/>
  <c r="AA6" i="18"/>
  <c r="Z30" i="18"/>
  <c r="Z27" i="18"/>
  <c r="Z24" i="18"/>
  <c r="Z21" i="18"/>
  <c r="Z18" i="18"/>
  <c r="Z15" i="18"/>
  <c r="Z12" i="18"/>
  <c r="Z9" i="18"/>
  <c r="Z6" i="18"/>
  <c r="AB3" i="18"/>
  <c r="AA3" i="18"/>
  <c r="Z3" i="18"/>
  <c r="Y30" i="18"/>
  <c r="Y27" i="18"/>
  <c r="Y24" i="18"/>
  <c r="Y21" i="18"/>
  <c r="Y18" i="18"/>
  <c r="Y15" i="18"/>
  <c r="Y12" i="18"/>
  <c r="Y9" i="18"/>
  <c r="Y6" i="18"/>
  <c r="Y3" i="18"/>
  <c r="X30" i="18"/>
  <c r="X27" i="18"/>
  <c r="X24" i="18"/>
  <c r="X21" i="18"/>
  <c r="X18" i="18"/>
  <c r="X15" i="18"/>
  <c r="X12" i="18"/>
  <c r="X9" i="18"/>
  <c r="X6" i="18"/>
  <c r="X3" i="18"/>
  <c r="W30" i="18"/>
  <c r="W27" i="18"/>
  <c r="W24" i="18"/>
  <c r="W21" i="18"/>
  <c r="W18" i="18"/>
  <c r="W15" i="18"/>
  <c r="W12" i="18"/>
  <c r="W9" i="18"/>
  <c r="W6" i="18"/>
  <c r="W3" i="18"/>
  <c r="V30" i="18"/>
  <c r="V27" i="18"/>
  <c r="V24" i="18"/>
  <c r="V21" i="18"/>
  <c r="V18" i="18"/>
  <c r="V15" i="18"/>
  <c r="V12" i="18"/>
  <c r="V9" i="18"/>
  <c r="V6" i="18"/>
  <c r="V3" i="18"/>
  <c r="I1" i="17"/>
  <c r="H1" i="17"/>
  <c r="G1" i="17"/>
  <c r="F1" i="17"/>
  <c r="E1" i="17"/>
  <c r="D1" i="17"/>
  <c r="C1" i="17"/>
  <c r="M45" i="17"/>
  <c r="X45" i="17"/>
  <c r="AN40" i="17"/>
  <c r="AM40" i="17"/>
  <c r="AL40" i="17"/>
  <c r="AK40" i="17"/>
  <c r="AJ40" i="17"/>
  <c r="AI40" i="17"/>
  <c r="AN39" i="17"/>
  <c r="AM39" i="17"/>
  <c r="AL39" i="17"/>
  <c r="AK39" i="17"/>
  <c r="AJ39" i="17"/>
  <c r="AI39" i="17"/>
  <c r="AN38" i="17"/>
  <c r="AM38" i="17"/>
  <c r="AL38" i="17"/>
  <c r="AK38" i="17"/>
  <c r="AJ38" i="17"/>
  <c r="AI38" i="17"/>
  <c r="AN37" i="17"/>
  <c r="AM37" i="17"/>
  <c r="AL37" i="17"/>
  <c r="AK37" i="17"/>
  <c r="AJ37" i="17"/>
  <c r="AI37" i="17"/>
  <c r="AN36" i="17"/>
  <c r="AM36" i="17"/>
  <c r="AL36" i="17"/>
  <c r="AK36" i="17"/>
  <c r="AJ36" i="17"/>
  <c r="AI36" i="17"/>
  <c r="AN35" i="17"/>
  <c r="AM35" i="17"/>
  <c r="AL35" i="17"/>
  <c r="AK35" i="17"/>
  <c r="AJ35" i="17"/>
  <c r="AI35" i="17"/>
  <c r="AN34" i="17"/>
  <c r="AM34" i="17"/>
  <c r="AL34" i="17"/>
  <c r="AK34" i="17"/>
  <c r="AJ34" i="17"/>
  <c r="AI34" i="17"/>
  <c r="AN33" i="17"/>
  <c r="AM33" i="17"/>
  <c r="AL33" i="17"/>
  <c r="AK33" i="17"/>
  <c r="AJ33" i="17"/>
  <c r="AI33" i="17"/>
  <c r="AN32" i="17"/>
  <c r="AM32" i="17"/>
  <c r="AL32" i="17"/>
  <c r="AK32" i="17"/>
  <c r="AJ32" i="17"/>
  <c r="AI32" i="17"/>
  <c r="AN31" i="17"/>
  <c r="AM31" i="17"/>
  <c r="AL31" i="17"/>
  <c r="AK31" i="17"/>
  <c r="AJ31" i="17"/>
  <c r="AI31" i="17"/>
  <c r="AN30" i="17"/>
  <c r="AM30" i="17"/>
  <c r="AL30" i="17"/>
  <c r="AK30" i="17"/>
  <c r="AJ30" i="17"/>
  <c r="AI30" i="17"/>
  <c r="AN29" i="17"/>
  <c r="AM29" i="17"/>
  <c r="AL29" i="17"/>
  <c r="AK29" i="17"/>
  <c r="AJ29" i="17"/>
  <c r="AI29" i="17"/>
  <c r="AN28" i="17"/>
  <c r="AM28" i="17"/>
  <c r="AL28" i="17"/>
  <c r="AK28" i="17"/>
  <c r="AJ28" i="17"/>
  <c r="AI28" i="17"/>
  <c r="AN27" i="17"/>
  <c r="AM27" i="17"/>
  <c r="AL27" i="17"/>
  <c r="AK27" i="17"/>
  <c r="AJ27" i="17"/>
  <c r="AI27" i="17"/>
  <c r="AN26" i="17"/>
  <c r="AM26" i="17"/>
  <c r="AL26" i="17"/>
  <c r="AK26" i="17"/>
  <c r="AJ26" i="17"/>
  <c r="AI26" i="17"/>
  <c r="AN25" i="17"/>
  <c r="AM25" i="17"/>
  <c r="AL25" i="17"/>
  <c r="AK25" i="17"/>
  <c r="AJ25" i="17"/>
  <c r="AI25" i="17"/>
  <c r="AN24" i="17"/>
  <c r="AM24" i="17"/>
  <c r="AL24" i="17"/>
  <c r="AK24" i="17"/>
  <c r="AJ24" i="17"/>
  <c r="AI24" i="17"/>
  <c r="AN23" i="17"/>
  <c r="AM23" i="17"/>
  <c r="AL23" i="17"/>
  <c r="AK23" i="17"/>
  <c r="AJ23" i="17"/>
  <c r="AI23" i="17"/>
  <c r="AN22" i="17"/>
  <c r="AM22" i="17"/>
  <c r="AL22" i="17"/>
  <c r="AK22" i="17"/>
  <c r="AJ22" i="17"/>
  <c r="AI22" i="17"/>
  <c r="AI21" i="17"/>
  <c r="AN21" i="17"/>
  <c r="AM21" i="17"/>
  <c r="AL21" i="17"/>
  <c r="AK21" i="17"/>
  <c r="AJ21" i="17"/>
  <c r="AN20" i="17"/>
  <c r="AM20" i="17"/>
  <c r="AN19" i="17"/>
  <c r="AM19" i="17"/>
  <c r="P25" i="17"/>
  <c r="AF27" i="22" l="1"/>
  <c r="AE27" i="22"/>
  <c r="AD27" i="22"/>
  <c r="AC27" i="22"/>
  <c r="AB27" i="22"/>
  <c r="AA27" i="22"/>
  <c r="Z27" i="22"/>
  <c r="Y27" i="22"/>
  <c r="AF26" i="22"/>
  <c r="AE26" i="22"/>
  <c r="AD26" i="22"/>
  <c r="AC26" i="22"/>
  <c r="AB26" i="22"/>
  <c r="AA26" i="22"/>
  <c r="Z26" i="22"/>
  <c r="Y26" i="22"/>
  <c r="AF25" i="22"/>
  <c r="AE25" i="22"/>
  <c r="AD25" i="22"/>
  <c r="AC25" i="22"/>
  <c r="AB25" i="22"/>
  <c r="AA25" i="22"/>
  <c r="Z25" i="22"/>
  <c r="Y25" i="22"/>
  <c r="AF24" i="22"/>
  <c r="AE24" i="22"/>
  <c r="AD24" i="22"/>
  <c r="AC24" i="22"/>
  <c r="AB24" i="22"/>
  <c r="AA24" i="22"/>
  <c r="Z24" i="22"/>
  <c r="Y24" i="22"/>
  <c r="AF23" i="22"/>
  <c r="AE23" i="22"/>
  <c r="AD23" i="22"/>
  <c r="AC23" i="22"/>
  <c r="AB23" i="22"/>
  <c r="AA23" i="22"/>
  <c r="Z23" i="22"/>
  <c r="Y23" i="22"/>
  <c r="AF22" i="22"/>
  <c r="AE22" i="22"/>
  <c r="AD22" i="22"/>
  <c r="AC22" i="22"/>
  <c r="AB22" i="22"/>
  <c r="AA22" i="22"/>
  <c r="Z22" i="22"/>
  <c r="Y22" i="22"/>
  <c r="AF21" i="22"/>
  <c r="AE21" i="22"/>
  <c r="AD21" i="22"/>
  <c r="AC21" i="22"/>
  <c r="AB21" i="22"/>
  <c r="AA21" i="22"/>
  <c r="Z21" i="22"/>
  <c r="Y21" i="22"/>
  <c r="AF20" i="22"/>
  <c r="AE20" i="22"/>
  <c r="AD20" i="22"/>
  <c r="AC20" i="22"/>
  <c r="AB20" i="22"/>
  <c r="AA20" i="22"/>
  <c r="Z20" i="22"/>
  <c r="Y20" i="22"/>
  <c r="AF19" i="22"/>
  <c r="AE19" i="22"/>
  <c r="AD19" i="22"/>
  <c r="AC19" i="22"/>
  <c r="AB19" i="22"/>
  <c r="AA19" i="22"/>
  <c r="Z19" i="22"/>
  <c r="Y19" i="22"/>
  <c r="AF18" i="22"/>
  <c r="AE18" i="22"/>
  <c r="AD18" i="22"/>
  <c r="AC18" i="22"/>
  <c r="AB18" i="22"/>
  <c r="AA18" i="22"/>
  <c r="Z18" i="22"/>
  <c r="Y18" i="22"/>
  <c r="AF17" i="22"/>
  <c r="AE17" i="22"/>
  <c r="AD17" i="22"/>
  <c r="AC17" i="22"/>
  <c r="AB17" i="22"/>
  <c r="AA17" i="22"/>
  <c r="Z17" i="22"/>
  <c r="Y17" i="22"/>
  <c r="AF16" i="22"/>
  <c r="AE16" i="22"/>
  <c r="AD16" i="22"/>
  <c r="AC16" i="22"/>
  <c r="AB16" i="22"/>
  <c r="AA16" i="22"/>
  <c r="Z16" i="22"/>
  <c r="Y16" i="22"/>
  <c r="AF15" i="22"/>
  <c r="AE15" i="22"/>
  <c r="AD15" i="22"/>
  <c r="AC15" i="22"/>
  <c r="AB15" i="22"/>
  <c r="AA15" i="22"/>
  <c r="Z15" i="22"/>
  <c r="Y15" i="22"/>
  <c r="AF14" i="22"/>
  <c r="AE14" i="22"/>
  <c r="AD14" i="22"/>
  <c r="AC14" i="22"/>
  <c r="AB14" i="22"/>
  <c r="AA14" i="22"/>
  <c r="Z14" i="22"/>
  <c r="Y14" i="22"/>
  <c r="AF13" i="22"/>
  <c r="AE13" i="22"/>
  <c r="AD13" i="22"/>
  <c r="AC13" i="22"/>
  <c r="AB13" i="22"/>
  <c r="AA13" i="22"/>
  <c r="Z13" i="22"/>
  <c r="Y13" i="22"/>
  <c r="AF12" i="22"/>
  <c r="AE12" i="22"/>
  <c r="AD12" i="22"/>
  <c r="AC12" i="22"/>
  <c r="AB12" i="22"/>
  <c r="AA12" i="22"/>
  <c r="Z12" i="22"/>
  <c r="Y12" i="22"/>
  <c r="AF11" i="22"/>
  <c r="AE11" i="22"/>
  <c r="AD11" i="22"/>
  <c r="AC11" i="22"/>
  <c r="AB11" i="22"/>
  <c r="AA11" i="22"/>
  <c r="Z11" i="22"/>
  <c r="Y11" i="22"/>
  <c r="AF10" i="22"/>
  <c r="AE10" i="22"/>
  <c r="AD10" i="22"/>
  <c r="AC10" i="22"/>
  <c r="AB10" i="22"/>
  <c r="AA10" i="22"/>
  <c r="Z10" i="22"/>
  <c r="Y10" i="22"/>
  <c r="AF9" i="22"/>
  <c r="AE9" i="22"/>
  <c r="AD9" i="22"/>
  <c r="AC9" i="22"/>
  <c r="AB9" i="22"/>
  <c r="AA9" i="22"/>
  <c r="Z9" i="22"/>
  <c r="Y9" i="22"/>
  <c r="AF8" i="22"/>
  <c r="AE8" i="22"/>
  <c r="AD8" i="22"/>
  <c r="AC8" i="22"/>
  <c r="AB8" i="22"/>
  <c r="AA8" i="22"/>
  <c r="Z8" i="22"/>
  <c r="Y8" i="22"/>
  <c r="AF7" i="22"/>
  <c r="AE7" i="22"/>
  <c r="AD7" i="22"/>
  <c r="AC7" i="22"/>
  <c r="AB7" i="22"/>
  <c r="AA7" i="22"/>
  <c r="Z7" i="22"/>
  <c r="Y7" i="22"/>
  <c r="AF6" i="22"/>
  <c r="AE6" i="22"/>
  <c r="AD6" i="22"/>
  <c r="AC6" i="22"/>
  <c r="AB6" i="22"/>
  <c r="AA6" i="22"/>
  <c r="Z6" i="22"/>
  <c r="Y6" i="22"/>
  <c r="AF5" i="22"/>
  <c r="AE5" i="22"/>
  <c r="AD5" i="22"/>
  <c r="AC5" i="22"/>
  <c r="AB5" i="22"/>
  <c r="AA5" i="22"/>
  <c r="Z5" i="22"/>
  <c r="Y5" i="22"/>
  <c r="AF4" i="22"/>
  <c r="AE4" i="22"/>
  <c r="AD4" i="22"/>
  <c r="AC4" i="22"/>
  <c r="AB4" i="22"/>
  <c r="AA4" i="22"/>
  <c r="Z4" i="22"/>
  <c r="Y4" i="22"/>
  <c r="AD53" i="19"/>
  <c r="Z39" i="17"/>
  <c r="X39" i="17"/>
  <c r="AA38" i="17"/>
  <c r="Z38" i="17"/>
  <c r="Y38" i="17"/>
  <c r="X38" i="17"/>
  <c r="AA37" i="17"/>
  <c r="Z37" i="17"/>
  <c r="Y37" i="17"/>
  <c r="X37" i="17"/>
  <c r="AA36" i="17"/>
  <c r="Z36" i="17"/>
  <c r="Y36" i="17"/>
  <c r="X36" i="17"/>
  <c r="O27" i="24" l="1"/>
  <c r="O20" i="24"/>
  <c r="O13" i="24"/>
  <c r="O6" i="24"/>
  <c r="U6" i="24"/>
  <c r="U5" i="24"/>
  <c r="U4" i="24"/>
  <c r="P27" i="24"/>
  <c r="P20" i="24"/>
  <c r="P13" i="24"/>
  <c r="P6" i="24"/>
  <c r="P5" i="24"/>
  <c r="P4" i="24"/>
  <c r="P3" i="24"/>
  <c r="P2" i="24"/>
  <c r="K6" i="24"/>
  <c r="K5" i="24"/>
  <c r="K4" i="24"/>
  <c r="K3" i="24"/>
  <c r="K2" i="24"/>
  <c r="B3" i="18"/>
  <c r="E21" i="18"/>
  <c r="L43" i="24"/>
  <c r="L42" i="24"/>
  <c r="AG27" i="22"/>
  <c r="AG26" i="22"/>
  <c r="AG25" i="22"/>
  <c r="AG24" i="22"/>
  <c r="AG23" i="22"/>
  <c r="AG22" i="22"/>
  <c r="AG21" i="22"/>
  <c r="AG20" i="22"/>
  <c r="AG19" i="22"/>
  <c r="AG18" i="22"/>
  <c r="AG17" i="22"/>
  <c r="AG16" i="22"/>
  <c r="AG15" i="22"/>
  <c r="AG14" i="22"/>
  <c r="AG13" i="22"/>
  <c r="AG12" i="22"/>
  <c r="AG11" i="22"/>
  <c r="AG10" i="22"/>
  <c r="AG9" i="22"/>
  <c r="AG8" i="22"/>
  <c r="AG7" i="22"/>
  <c r="AG6" i="22"/>
  <c r="AG5" i="22"/>
  <c r="AG4" i="22"/>
  <c r="X27" i="22"/>
  <c r="W27" i="22"/>
  <c r="V27" i="22"/>
  <c r="U27" i="22"/>
  <c r="X26" i="22"/>
  <c r="W26" i="22"/>
  <c r="V26" i="22"/>
  <c r="U26" i="22"/>
  <c r="X25" i="22"/>
  <c r="W25" i="22"/>
  <c r="V25" i="22"/>
  <c r="U25" i="22"/>
  <c r="X24" i="22"/>
  <c r="W24" i="22"/>
  <c r="V24" i="22"/>
  <c r="U24" i="22"/>
  <c r="X23" i="22"/>
  <c r="W23" i="22"/>
  <c r="V23" i="22"/>
  <c r="U23" i="22"/>
  <c r="X22" i="22"/>
  <c r="W22" i="22"/>
  <c r="V22" i="22"/>
  <c r="U22" i="22"/>
  <c r="X21" i="22"/>
  <c r="W21" i="22"/>
  <c r="V21" i="22"/>
  <c r="U21" i="22"/>
  <c r="X20" i="22"/>
  <c r="W20" i="22"/>
  <c r="V20" i="22"/>
  <c r="U20" i="22"/>
  <c r="X19" i="22"/>
  <c r="W19" i="22"/>
  <c r="V19" i="22"/>
  <c r="U19" i="22"/>
  <c r="X18" i="22"/>
  <c r="W18" i="22"/>
  <c r="V18" i="22"/>
  <c r="U18" i="22"/>
  <c r="X17" i="22"/>
  <c r="W17" i="22"/>
  <c r="V17" i="22"/>
  <c r="U17" i="22"/>
  <c r="X16" i="22"/>
  <c r="W16" i="22"/>
  <c r="V16" i="22"/>
  <c r="U16" i="22"/>
  <c r="X15" i="22"/>
  <c r="W15" i="22"/>
  <c r="V15" i="22"/>
  <c r="U15" i="22"/>
  <c r="X14" i="22"/>
  <c r="W14" i="22"/>
  <c r="V14" i="22"/>
  <c r="U14" i="22"/>
  <c r="X13" i="22"/>
  <c r="W13" i="22"/>
  <c r="V13" i="22"/>
  <c r="U13" i="22"/>
  <c r="X12" i="22"/>
  <c r="W12" i="22"/>
  <c r="V12" i="22"/>
  <c r="U12" i="22"/>
  <c r="X11" i="22"/>
  <c r="W11" i="22"/>
  <c r="V11" i="22"/>
  <c r="U11" i="22"/>
  <c r="X10" i="22"/>
  <c r="W10" i="22"/>
  <c r="V10" i="22"/>
  <c r="U10" i="22"/>
  <c r="X9" i="22"/>
  <c r="W9" i="22"/>
  <c r="V9" i="22"/>
  <c r="U9" i="22"/>
  <c r="X8" i="22"/>
  <c r="W8" i="22"/>
  <c r="V8" i="22"/>
  <c r="U8" i="22"/>
  <c r="X7" i="22"/>
  <c r="W7" i="22"/>
  <c r="V7" i="22"/>
  <c r="U7" i="22"/>
  <c r="X6" i="22"/>
  <c r="W6" i="22"/>
  <c r="V6" i="22"/>
  <c r="U6" i="22"/>
  <c r="U5" i="22"/>
  <c r="X4" i="22"/>
  <c r="W4" i="22"/>
  <c r="X50" i="22"/>
  <c r="V48" i="22"/>
  <c r="H48" i="21"/>
  <c r="C48" i="21"/>
  <c r="W49" i="21"/>
  <c r="AL36" i="19"/>
  <c r="AK36" i="19"/>
  <c r="AJ36" i="19"/>
  <c r="AI36" i="19"/>
  <c r="AH36" i="19"/>
  <c r="AG36" i="19"/>
  <c r="AF36" i="19"/>
  <c r="AE36" i="19"/>
  <c r="AD36" i="19"/>
  <c r="AC36" i="19"/>
  <c r="AL34" i="19"/>
  <c r="AK34" i="19"/>
  <c r="AJ34" i="19"/>
  <c r="AI34" i="19"/>
  <c r="AH34" i="19"/>
  <c r="AG34" i="19"/>
  <c r="AF34" i="19"/>
  <c r="AE34" i="19"/>
  <c r="AD34" i="19"/>
  <c r="AC34" i="19"/>
  <c r="AL32" i="19"/>
  <c r="AK32" i="19"/>
  <c r="AJ32" i="19"/>
  <c r="AI32" i="19"/>
  <c r="AH32" i="19"/>
  <c r="AG32" i="19"/>
  <c r="AF32" i="19"/>
  <c r="AE32" i="19"/>
  <c r="AD32" i="19"/>
  <c r="AC32" i="19"/>
  <c r="AL30" i="19"/>
  <c r="AK30" i="19"/>
  <c r="AJ30" i="19"/>
  <c r="AI30" i="19"/>
  <c r="AH30" i="19"/>
  <c r="AG30" i="19"/>
  <c r="AF30" i="19"/>
  <c r="AE30" i="19"/>
  <c r="AD30" i="19"/>
  <c r="AC30" i="19"/>
  <c r="AL26" i="19"/>
  <c r="AK26" i="19"/>
  <c r="AJ26" i="19"/>
  <c r="AI26" i="19"/>
  <c r="AH26" i="19"/>
  <c r="AG26" i="19"/>
  <c r="AF26" i="19"/>
  <c r="AE26" i="19"/>
  <c r="AD26" i="19"/>
  <c r="AL28" i="19"/>
  <c r="AK28" i="19"/>
  <c r="AJ28" i="19"/>
  <c r="AI28" i="19"/>
  <c r="AH28" i="19"/>
  <c r="AG28" i="19"/>
  <c r="AF28" i="19"/>
  <c r="AE28" i="19"/>
  <c r="AD28" i="19"/>
  <c r="AC28" i="19"/>
  <c r="AC26" i="19"/>
  <c r="AL35" i="19"/>
  <c r="AK35" i="19"/>
  <c r="AJ35" i="19"/>
  <c r="AI35" i="19"/>
  <c r="AH35" i="19"/>
  <c r="AG35" i="19"/>
  <c r="AF35" i="19"/>
  <c r="AE35" i="19"/>
  <c r="AD35" i="19"/>
  <c r="AC35" i="19"/>
  <c r="AL33" i="19"/>
  <c r="AK33" i="19"/>
  <c r="AJ33" i="19"/>
  <c r="AI33" i="19"/>
  <c r="AH33" i="19"/>
  <c r="AG33" i="19"/>
  <c r="AF33" i="19"/>
  <c r="AE33" i="19"/>
  <c r="AD33" i="19"/>
  <c r="AC33" i="19"/>
  <c r="AL31" i="19"/>
  <c r="AK31" i="19"/>
  <c r="AJ31" i="19"/>
  <c r="AI31" i="19"/>
  <c r="AH31" i="19"/>
  <c r="AG31" i="19"/>
  <c r="AF31" i="19"/>
  <c r="AE31" i="19"/>
  <c r="AD31" i="19"/>
  <c r="AC31" i="19"/>
  <c r="AL29" i="19"/>
  <c r="AK29" i="19"/>
  <c r="AJ29" i="19"/>
  <c r="AI29" i="19"/>
  <c r="AH29" i="19"/>
  <c r="AG29" i="19"/>
  <c r="AF29" i="19"/>
  <c r="AE29" i="19"/>
  <c r="AD29" i="19"/>
  <c r="AC29" i="19"/>
  <c r="AL27" i="19"/>
  <c r="AK27" i="19"/>
  <c r="AJ27" i="19"/>
  <c r="AI27" i="19"/>
  <c r="AH27" i="19"/>
  <c r="AG27" i="19"/>
  <c r="AF27" i="19"/>
  <c r="AE27" i="19"/>
  <c r="AD27" i="19"/>
  <c r="AC27" i="19"/>
  <c r="AL25" i="19"/>
  <c r="AK25" i="19"/>
  <c r="AJ25" i="19"/>
  <c r="AI25" i="19"/>
  <c r="AH25" i="19"/>
  <c r="AG25" i="19"/>
  <c r="AF25" i="19"/>
  <c r="AE25" i="19"/>
  <c r="AD25" i="19"/>
  <c r="AC25" i="19"/>
  <c r="AJ22" i="19"/>
  <c r="AI22" i="19"/>
  <c r="AH22" i="19"/>
  <c r="AG22" i="19"/>
  <c r="AJ21" i="19"/>
  <c r="AI21" i="19"/>
  <c r="AH21" i="19"/>
  <c r="AG21" i="19"/>
  <c r="AJ20" i="19"/>
  <c r="AI20" i="19"/>
  <c r="AH20" i="19"/>
  <c r="AG20" i="19"/>
  <c r="AJ19" i="19"/>
  <c r="AI19" i="19"/>
  <c r="AH19" i="19"/>
  <c r="AG19" i="19"/>
  <c r="AJ18" i="19"/>
  <c r="AI18" i="19"/>
  <c r="AH18" i="19"/>
  <c r="AG18" i="19"/>
  <c r="AJ17" i="19"/>
  <c r="AI17" i="19"/>
  <c r="AH17" i="19"/>
  <c r="AG17" i="19"/>
  <c r="AD22" i="19"/>
  <c r="AC22" i="19"/>
  <c r="AB22" i="19"/>
  <c r="AA22" i="19"/>
  <c r="AD21" i="19"/>
  <c r="AC21" i="19"/>
  <c r="AB21" i="19"/>
  <c r="AA21" i="19"/>
  <c r="AD20" i="19"/>
  <c r="AC20" i="19"/>
  <c r="AB20" i="19"/>
  <c r="AA20" i="19"/>
  <c r="AD19" i="19"/>
  <c r="AC19" i="19"/>
  <c r="AB19" i="19"/>
  <c r="AA19" i="19"/>
  <c r="AD18" i="19"/>
  <c r="AC18" i="19"/>
  <c r="AB18" i="19"/>
  <c r="AA18" i="19"/>
  <c r="AC17" i="19"/>
  <c r="AD17" i="19"/>
  <c r="AB17" i="19"/>
  <c r="AL13" i="19"/>
  <c r="AK13" i="19"/>
  <c r="AL11" i="19"/>
  <c r="AK11" i="19"/>
  <c r="AL9" i="19"/>
  <c r="AK9" i="19"/>
  <c r="AL7" i="19"/>
  <c r="AK7" i="19"/>
  <c r="AL5" i="19"/>
  <c r="AK5" i="19"/>
  <c r="AL3" i="19"/>
  <c r="AK3" i="19"/>
  <c r="H30" i="18"/>
  <c r="G30" i="18"/>
  <c r="F30" i="18"/>
  <c r="E30" i="18"/>
  <c r="H27" i="18"/>
  <c r="G27" i="18"/>
  <c r="F27" i="18"/>
  <c r="E27" i="18"/>
  <c r="H24" i="18"/>
  <c r="G24" i="18"/>
  <c r="F24" i="18"/>
  <c r="E24" i="18"/>
  <c r="H21" i="18"/>
  <c r="G21" i="18"/>
  <c r="F21" i="18"/>
  <c r="H18" i="18"/>
  <c r="G18" i="18"/>
  <c r="F18" i="18"/>
  <c r="E18" i="18"/>
  <c r="H15" i="18"/>
  <c r="G15" i="18"/>
  <c r="F15" i="18"/>
  <c r="E15" i="18"/>
  <c r="H12" i="18"/>
  <c r="G12" i="18"/>
  <c r="F12" i="18"/>
  <c r="E12" i="18"/>
  <c r="H9" i="18"/>
  <c r="G9" i="18"/>
  <c r="F9" i="18"/>
  <c r="E9" i="18"/>
  <c r="H6" i="18"/>
  <c r="G6" i="18"/>
  <c r="F6" i="18"/>
  <c r="E6" i="18"/>
  <c r="H3" i="18"/>
  <c r="G3" i="18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X32" i="20"/>
  <c r="C32" i="20"/>
  <c r="X31" i="20"/>
  <c r="C31" i="20"/>
  <c r="X30" i="20"/>
  <c r="C30" i="20"/>
  <c r="X29" i="20"/>
  <c r="C29" i="20"/>
  <c r="X28" i="20"/>
  <c r="C28" i="20"/>
  <c r="X27" i="20"/>
  <c r="C27" i="20"/>
  <c r="X26" i="20"/>
  <c r="C26" i="20"/>
  <c r="X25" i="20"/>
  <c r="C25" i="20"/>
  <c r="X24" i="20"/>
  <c r="C24" i="20"/>
  <c r="X23" i="20"/>
  <c r="C23" i="20"/>
  <c r="V4" i="20"/>
  <c r="AB4" i="20"/>
  <c r="AA4" i="20"/>
  <c r="Z4" i="20"/>
  <c r="Y4" i="20"/>
  <c r="X4" i="20"/>
  <c r="W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AJ44" i="17"/>
  <c r="AK44" i="17"/>
  <c r="AK43" i="17"/>
  <c r="AJ43" i="17"/>
  <c r="AE18" i="17"/>
  <c r="Z3" i="17"/>
  <c r="AA3" i="17"/>
  <c r="S39" i="17"/>
  <c r="S38" i="17"/>
  <c r="S37" i="17"/>
  <c r="S36" i="17"/>
  <c r="S33" i="17"/>
  <c r="R33" i="17"/>
  <c r="Q33" i="17"/>
  <c r="P33" i="17"/>
  <c r="S32" i="17"/>
  <c r="R32" i="17"/>
  <c r="Q32" i="17"/>
  <c r="P32" i="17"/>
  <c r="S31" i="17"/>
  <c r="R31" i="17"/>
  <c r="Q31" i="17"/>
  <c r="P31" i="17"/>
  <c r="S30" i="17"/>
  <c r="R30" i="17"/>
  <c r="Q30" i="17"/>
  <c r="P30" i="17"/>
  <c r="S29" i="17"/>
  <c r="R29" i="17"/>
  <c r="Q29" i="17"/>
  <c r="P29" i="17"/>
  <c r="S28" i="17"/>
  <c r="R28" i="17"/>
  <c r="Q28" i="17"/>
  <c r="P28" i="17"/>
  <c r="S27" i="17"/>
  <c r="R27" i="17"/>
  <c r="Q27" i="17"/>
  <c r="P27" i="17"/>
  <c r="S26" i="17"/>
  <c r="R26" i="17"/>
  <c r="Q26" i="17"/>
  <c r="P26" i="17"/>
  <c r="S25" i="17"/>
  <c r="R25" i="17"/>
  <c r="Q25" i="17"/>
  <c r="S24" i="17"/>
  <c r="R24" i="17"/>
  <c r="Q24" i="17"/>
  <c r="P24" i="17"/>
  <c r="S23" i="17"/>
  <c r="R23" i="17"/>
  <c r="Q23" i="17"/>
  <c r="P23" i="17"/>
  <c r="S22" i="17"/>
  <c r="R22" i="17"/>
  <c r="Q22" i="17"/>
  <c r="P22" i="17"/>
  <c r="AF44" i="17"/>
  <c r="AE44" i="17"/>
  <c r="AD44" i="17"/>
  <c r="AC44" i="17"/>
  <c r="AB42" i="17"/>
  <c r="AE6" i="17"/>
  <c r="AE14" i="17"/>
  <c r="AE10" i="17"/>
  <c r="Z15" i="17"/>
  <c r="Z14" i="17"/>
  <c r="Z4" i="17"/>
  <c r="AF28" i="17"/>
  <c r="AE28" i="17"/>
  <c r="AD28" i="17"/>
  <c r="AC28" i="17"/>
  <c r="AB28" i="17"/>
  <c r="AA28" i="17"/>
  <c r="Z28" i="17"/>
  <c r="Y28" i="17"/>
  <c r="AF31" i="17"/>
  <c r="AE31" i="17"/>
  <c r="AD31" i="17"/>
  <c r="AC31" i="17"/>
  <c r="AB31" i="17"/>
  <c r="AA31" i="17"/>
  <c r="Z31" i="17"/>
  <c r="Y31" i="17"/>
  <c r="AF30" i="17"/>
  <c r="AE30" i="17"/>
  <c r="AD30" i="17"/>
  <c r="AC30" i="17"/>
  <c r="AB30" i="17"/>
  <c r="AA30" i="17"/>
  <c r="Z30" i="17"/>
  <c r="Y30" i="17"/>
  <c r="AF29" i="17"/>
  <c r="AE29" i="17"/>
  <c r="AD29" i="17"/>
  <c r="AC29" i="17"/>
  <c r="AB29" i="17"/>
  <c r="AA29" i="17"/>
  <c r="Z29" i="17"/>
  <c r="Y29" i="17"/>
  <c r="Q36" i="17"/>
  <c r="Q37" i="17"/>
  <c r="Q38" i="17"/>
  <c r="Q39" i="17"/>
  <c r="O36" i="17"/>
  <c r="O37" i="17"/>
  <c r="O38" i="17"/>
  <c r="O39" i="17"/>
  <c r="B7" i="18"/>
  <c r="G10" i="20"/>
  <c r="Z11" i="17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Z17" i="17"/>
  <c r="Z18" i="17"/>
  <c r="AE7" i="17"/>
  <c r="B4" i="18"/>
  <c r="B6" i="18"/>
  <c r="B5" i="18"/>
  <c r="B10" i="18"/>
  <c r="B16" i="18"/>
  <c r="B11" i="18"/>
  <c r="B21" i="18"/>
  <c r="C18" i="18"/>
  <c r="B13" i="18"/>
  <c r="B14" i="18"/>
  <c r="D4" i="24"/>
  <c r="D6" i="24"/>
  <c r="D7" i="24"/>
  <c r="D8" i="24"/>
  <c r="D9" i="24"/>
  <c r="D10" i="24"/>
  <c r="D11" i="24"/>
  <c r="D12" i="24"/>
  <c r="D14" i="24"/>
  <c r="D16" i="24"/>
  <c r="D18" i="24"/>
  <c r="D19" i="24"/>
  <c r="C4" i="24"/>
  <c r="C6" i="24"/>
  <c r="C7" i="24"/>
  <c r="C8" i="24"/>
  <c r="C9" i="24"/>
  <c r="C10" i="24"/>
  <c r="C11" i="24"/>
  <c r="C12" i="24"/>
  <c r="C14" i="24"/>
  <c r="C16" i="24"/>
  <c r="L44" i="24"/>
  <c r="L41" i="24"/>
  <c r="E23" i="20"/>
  <c r="E24" i="20"/>
  <c r="E25" i="20"/>
  <c r="E26" i="20"/>
  <c r="E27" i="20"/>
  <c r="E28" i="20"/>
  <c r="E29" i="20"/>
  <c r="E30" i="20"/>
  <c r="E31" i="20"/>
  <c r="E32" i="20"/>
  <c r="G23" i="20"/>
  <c r="G24" i="20"/>
  <c r="G25" i="20"/>
  <c r="G26" i="20"/>
  <c r="G27" i="20"/>
  <c r="G28" i="20"/>
  <c r="G29" i="20"/>
  <c r="G30" i="20"/>
  <c r="G31" i="20"/>
  <c r="G32" i="20"/>
  <c r="B24" i="20"/>
  <c r="B25" i="20"/>
  <c r="B26" i="20"/>
  <c r="B27" i="20"/>
  <c r="B28" i="20"/>
  <c r="B29" i="20"/>
  <c r="B30" i="20"/>
  <c r="B31" i="20"/>
  <c r="B32" i="20"/>
  <c r="K23" i="20"/>
  <c r="K24" i="20"/>
  <c r="K25" i="20"/>
  <c r="K26" i="20"/>
  <c r="K27" i="20"/>
  <c r="K28" i="20"/>
  <c r="K29" i="20"/>
  <c r="K30" i="20"/>
  <c r="K31" i="20"/>
  <c r="K32" i="20"/>
  <c r="M23" i="20"/>
  <c r="M24" i="20"/>
  <c r="M25" i="20"/>
  <c r="M26" i="20"/>
  <c r="M27" i="20"/>
  <c r="M28" i="20"/>
  <c r="M29" i="20"/>
  <c r="M30" i="20"/>
  <c r="M31" i="20"/>
  <c r="M32" i="20"/>
  <c r="Q23" i="20"/>
  <c r="Q24" i="20"/>
  <c r="Q25" i="20"/>
  <c r="Q26" i="20"/>
  <c r="Q27" i="20"/>
  <c r="Q28" i="20"/>
  <c r="Q29" i="20"/>
  <c r="Q30" i="20"/>
  <c r="Q31" i="20"/>
  <c r="Q32" i="20"/>
  <c r="S23" i="20"/>
  <c r="S24" i="20"/>
  <c r="S25" i="20"/>
  <c r="S26" i="20"/>
  <c r="S27" i="20"/>
  <c r="S28" i="20"/>
  <c r="S29" i="20"/>
  <c r="S30" i="20"/>
  <c r="S31" i="20"/>
  <c r="S32" i="20"/>
  <c r="W23" i="20"/>
  <c r="W24" i="20"/>
  <c r="W25" i="20"/>
  <c r="W26" i="20"/>
  <c r="W27" i="20"/>
  <c r="W28" i="20"/>
  <c r="W29" i="20"/>
  <c r="W30" i="20"/>
  <c r="W31" i="20"/>
  <c r="W32" i="20"/>
  <c r="AE13" i="17"/>
  <c r="G44" i="19"/>
  <c r="G43" i="19"/>
  <c r="G45" i="19"/>
  <c r="AH4" i="22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J4" i="22"/>
  <c r="AJ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N22" i="17"/>
  <c r="N23" i="17"/>
  <c r="N24" i="17"/>
  <c r="N25" i="17"/>
  <c r="N26" i="17"/>
  <c r="N27" i="17"/>
  <c r="N28" i="17"/>
  <c r="N29" i="17"/>
  <c r="N30" i="17"/>
  <c r="N31" i="17"/>
  <c r="N32" i="17"/>
  <c r="N33" i="17"/>
  <c r="Y32" i="17"/>
  <c r="Z32" i="17"/>
  <c r="AA32" i="17"/>
  <c r="AB32" i="17"/>
  <c r="AC32" i="17"/>
  <c r="AD32" i="17"/>
  <c r="AE32" i="17"/>
  <c r="AF32" i="17"/>
  <c r="O44" i="17"/>
  <c r="O43" i="17"/>
  <c r="AE15" i="17"/>
  <c r="G12" i="20"/>
  <c r="B3074" i="28"/>
  <c r="C3074" i="28"/>
  <c r="D3074" i="28"/>
  <c r="E3074" i="28"/>
  <c r="F3074" i="28"/>
  <c r="G3074" i="28"/>
  <c r="H3074" i="28"/>
  <c r="I3074" i="28"/>
  <c r="J3074" i="28"/>
  <c r="K3074" i="28"/>
  <c r="L3074" i="28"/>
  <c r="M3074" i="28"/>
  <c r="N3074" i="28"/>
  <c r="O3074" i="28"/>
  <c r="P3074" i="28"/>
  <c r="Q3074" i="28"/>
  <c r="R3074" i="28"/>
  <c r="S3074" i="28"/>
  <c r="B3075" i="28"/>
  <c r="C3075" i="28"/>
  <c r="D3075" i="28"/>
  <c r="E3075" i="28"/>
  <c r="F3075" i="28"/>
  <c r="G3075" i="28"/>
  <c r="H3075" i="28"/>
  <c r="I3075" i="28"/>
  <c r="J3075" i="28"/>
  <c r="K3075" i="28"/>
  <c r="L3075" i="28"/>
  <c r="M3075" i="28"/>
  <c r="N3075" i="28"/>
  <c r="O3075" i="28"/>
  <c r="P3075" i="28"/>
  <c r="Q3075" i="28"/>
  <c r="R3075" i="28"/>
  <c r="S3075" i="28"/>
  <c r="B3084" i="28"/>
  <c r="C3084" i="28"/>
  <c r="D3084" i="28"/>
  <c r="E3084" i="28"/>
  <c r="F3084" i="28"/>
  <c r="G3084" i="28"/>
  <c r="H3084" i="28"/>
  <c r="I3084" i="28"/>
  <c r="J3084" i="28"/>
  <c r="K3084" i="28"/>
  <c r="L3084" i="28"/>
  <c r="M3084" i="28"/>
  <c r="N3084" i="28"/>
  <c r="O3084" i="28"/>
  <c r="P3084" i="28"/>
  <c r="Q3084" i="28"/>
  <c r="R3084" i="28"/>
  <c r="S3084" i="28"/>
  <c r="T3084" i="28"/>
  <c r="U3084" i="28"/>
  <c r="V3084" i="28"/>
  <c r="W3084" i="28"/>
  <c r="X3084" i="28"/>
  <c r="Y3084" i="28"/>
  <c r="Z3084" i="28"/>
  <c r="AA3084" i="28"/>
  <c r="AB3084" i="28"/>
  <c r="AC3084" i="28"/>
  <c r="AD3084" i="28"/>
  <c r="AE3084" i="28"/>
  <c r="AF3084" i="28"/>
  <c r="AG3084" i="28"/>
  <c r="AH3084" i="28"/>
  <c r="AI3084" i="28"/>
  <c r="AJ3084" i="28"/>
  <c r="AK3084" i="28"/>
  <c r="AL3084" i="28"/>
  <c r="AM3084" i="28"/>
  <c r="AN3084" i="28"/>
  <c r="AO3084" i="28"/>
  <c r="AP3084" i="28"/>
  <c r="AQ3084" i="28"/>
  <c r="AR3084" i="28"/>
  <c r="AS3084" i="28"/>
  <c r="AT3084" i="28"/>
  <c r="AU3084" i="28"/>
  <c r="AV3084" i="28"/>
  <c r="AW3084" i="28"/>
  <c r="AX3084" i="28"/>
  <c r="AY3084" i="28"/>
  <c r="AZ3084" i="28"/>
  <c r="BA3084" i="28"/>
  <c r="BB3084" i="28"/>
  <c r="BC3084" i="28"/>
  <c r="BD3084" i="28"/>
  <c r="BE3084" i="28"/>
  <c r="BF3084" i="28"/>
  <c r="BG3084" i="28"/>
  <c r="BH3084" i="28"/>
  <c r="BI3084" i="28"/>
  <c r="BJ3084" i="28"/>
  <c r="BK3084" i="28"/>
  <c r="BL3084" i="28"/>
  <c r="BM3084" i="28"/>
  <c r="B3095" i="28"/>
  <c r="C3095" i="28"/>
  <c r="D3095" i="28"/>
  <c r="E3095" i="28"/>
  <c r="F3095" i="28"/>
  <c r="G3095" i="28"/>
  <c r="H3095" i="28"/>
  <c r="I3095" i="28"/>
  <c r="J3095" i="28"/>
  <c r="K3095" i="28"/>
  <c r="L3095" i="28"/>
  <c r="M3095" i="28"/>
  <c r="N3095" i="28"/>
  <c r="O3095" i="28"/>
  <c r="P3095" i="28"/>
  <c r="Q3095" i="28"/>
  <c r="B3096" i="28"/>
  <c r="K5" i="18" s="1"/>
  <c r="C3096" i="28"/>
  <c r="L5" i="18" s="1"/>
  <c r="D3096" i="28"/>
  <c r="M5" i="18" s="1"/>
  <c r="E3096" i="28"/>
  <c r="N5" i="18" s="1"/>
  <c r="F3096" i="28"/>
  <c r="O5" i="18" s="1"/>
  <c r="G3096" i="28"/>
  <c r="P5" i="18" s="1"/>
  <c r="H3096" i="28"/>
  <c r="Q5" i="18" s="1"/>
  <c r="I3096" i="28"/>
  <c r="R5" i="18" s="1"/>
  <c r="J3096" i="28"/>
  <c r="K3096" i="28"/>
  <c r="L3096" i="28"/>
  <c r="M3096" i="28"/>
  <c r="N3096" i="28"/>
  <c r="O3096" i="28"/>
  <c r="P3096" i="28"/>
  <c r="Q3096" i="28"/>
  <c r="B3101" i="28"/>
  <c r="C3101" i="28"/>
  <c r="D3101" i="28"/>
  <c r="E3101" i="28"/>
  <c r="F3101" i="28"/>
  <c r="G3101" i="28"/>
  <c r="H3101" i="28"/>
  <c r="I3101" i="28"/>
  <c r="J3101" i="28"/>
  <c r="K3101" i="28"/>
  <c r="L3101" i="28"/>
  <c r="M3101" i="28"/>
  <c r="N3101" i="28"/>
  <c r="O3101" i="28"/>
  <c r="P3101" i="28"/>
  <c r="Q3101" i="28"/>
  <c r="B3102" i="28"/>
  <c r="C3102" i="28"/>
  <c r="D3102" i="28"/>
  <c r="E3102" i="28"/>
  <c r="F3102" i="28"/>
  <c r="G3102" i="28"/>
  <c r="H3102" i="28"/>
  <c r="I3102" i="28"/>
  <c r="J3102" i="28"/>
  <c r="K3102" i="28"/>
  <c r="L3102" i="28"/>
  <c r="M3102" i="28"/>
  <c r="N3102" i="28"/>
  <c r="O3102" i="28"/>
  <c r="P3102" i="28"/>
  <c r="Q3102" i="28"/>
  <c r="B3107" i="28"/>
  <c r="C3107" i="28"/>
  <c r="D3107" i="28"/>
  <c r="E3107" i="28"/>
  <c r="F3107" i="28"/>
  <c r="G3107" i="28"/>
  <c r="H3107" i="28"/>
  <c r="I3107" i="28"/>
  <c r="J3107" i="28"/>
  <c r="K3107" i="28"/>
  <c r="L3107" i="28"/>
  <c r="M3107" i="28"/>
  <c r="N3107" i="28"/>
  <c r="O3107" i="28"/>
  <c r="P3107" i="28"/>
  <c r="Q3107" i="28"/>
  <c r="B3108" i="28"/>
  <c r="C3108" i="28"/>
  <c r="D3108" i="28"/>
  <c r="E3108" i="28"/>
  <c r="F3108" i="28"/>
  <c r="G3108" i="28"/>
  <c r="H3108" i="28"/>
  <c r="I3108" i="28"/>
  <c r="J3108" i="28"/>
  <c r="K3108" i="28"/>
  <c r="L3108" i="28"/>
  <c r="M3108" i="28"/>
  <c r="N3108" i="28"/>
  <c r="O3108" i="28"/>
  <c r="P3108" i="28"/>
  <c r="Q3108" i="28"/>
  <c r="B3113" i="28"/>
  <c r="C3113" i="28"/>
  <c r="D3113" i="28"/>
  <c r="E3113" i="28"/>
  <c r="F3113" i="28"/>
  <c r="G3113" i="28"/>
  <c r="H3113" i="28"/>
  <c r="I3113" i="28"/>
  <c r="J3113" i="28"/>
  <c r="K3113" i="28"/>
  <c r="L3113" i="28"/>
  <c r="M3113" i="28"/>
  <c r="N3113" i="28"/>
  <c r="O3113" i="28"/>
  <c r="P3113" i="28"/>
  <c r="Q3113" i="28"/>
  <c r="B3114" i="28"/>
  <c r="C3114" i="28"/>
  <c r="D3114" i="28"/>
  <c r="E3114" i="28"/>
  <c r="F3114" i="28"/>
  <c r="G3114" i="28"/>
  <c r="H3114" i="28"/>
  <c r="I3114" i="28"/>
  <c r="J3114" i="28"/>
  <c r="K3114" i="28"/>
  <c r="L3114" i="28"/>
  <c r="M3114" i="28"/>
  <c r="N3114" i="28"/>
  <c r="O3114" i="28"/>
  <c r="P3114" i="28"/>
  <c r="Q3114" i="28"/>
  <c r="B3119" i="28"/>
  <c r="C3119" i="28"/>
  <c r="D3119" i="28"/>
  <c r="E3119" i="28"/>
  <c r="F3119" i="28"/>
  <c r="G3119" i="28"/>
  <c r="H3119" i="28"/>
  <c r="I3119" i="28"/>
  <c r="J3119" i="28"/>
  <c r="K3119" i="28"/>
  <c r="L3119" i="28"/>
  <c r="M3119" i="28"/>
  <c r="N3119" i="28"/>
  <c r="O3119" i="28"/>
  <c r="P3119" i="28"/>
  <c r="Q3119" i="28"/>
  <c r="B3120" i="28"/>
  <c r="C3120" i="28"/>
  <c r="D3120" i="28"/>
  <c r="E3120" i="28"/>
  <c r="F3120" i="28"/>
  <c r="G3120" i="28"/>
  <c r="H3120" i="28"/>
  <c r="I3120" i="28"/>
  <c r="J3120" i="28"/>
  <c r="K3120" i="28"/>
  <c r="L3120" i="28"/>
  <c r="M3120" i="28"/>
  <c r="N3120" i="28"/>
  <c r="O3120" i="28"/>
  <c r="P3120" i="28"/>
  <c r="Q3120" i="28"/>
  <c r="B3125" i="28"/>
  <c r="C3125" i="28"/>
  <c r="D3125" i="28"/>
  <c r="E3125" i="28"/>
  <c r="F3125" i="28"/>
  <c r="G3125" i="28"/>
  <c r="H3125" i="28"/>
  <c r="I3125" i="28"/>
  <c r="J3125" i="28"/>
  <c r="K3125" i="28"/>
  <c r="L3125" i="28"/>
  <c r="M3125" i="28"/>
  <c r="N3125" i="28"/>
  <c r="O3125" i="28"/>
  <c r="P3125" i="28"/>
  <c r="Q3125" i="28"/>
  <c r="B3126" i="28"/>
  <c r="C3126" i="28"/>
  <c r="D3126" i="28"/>
  <c r="E3126" i="28"/>
  <c r="F3126" i="28"/>
  <c r="G3126" i="28"/>
  <c r="H3126" i="28"/>
  <c r="I3126" i="28"/>
  <c r="J3126" i="28"/>
  <c r="K3126" i="28"/>
  <c r="L3126" i="28"/>
  <c r="M3126" i="28"/>
  <c r="N3126" i="28"/>
  <c r="O3126" i="28"/>
  <c r="P3126" i="28"/>
  <c r="Q3126" i="28"/>
  <c r="B3131" i="28"/>
  <c r="C3131" i="28"/>
  <c r="D3131" i="28"/>
  <c r="E3131" i="28"/>
  <c r="F3131" i="28"/>
  <c r="G3131" i="28"/>
  <c r="H3131" i="28"/>
  <c r="I3131" i="28"/>
  <c r="J3131" i="28"/>
  <c r="K3131" i="28"/>
  <c r="L3131" i="28"/>
  <c r="M3131" i="28"/>
  <c r="N3131" i="28"/>
  <c r="O3131" i="28"/>
  <c r="P3131" i="28"/>
  <c r="Q3131" i="28"/>
  <c r="B3132" i="28"/>
  <c r="C3132" i="28"/>
  <c r="D3132" i="28"/>
  <c r="E3132" i="28"/>
  <c r="F3132" i="28"/>
  <c r="G3132" i="28"/>
  <c r="H3132" i="28"/>
  <c r="I3132" i="28"/>
  <c r="J3132" i="28"/>
  <c r="K3132" i="28"/>
  <c r="L3132" i="28"/>
  <c r="M3132" i="28"/>
  <c r="N3132" i="28"/>
  <c r="O3132" i="28"/>
  <c r="P3132" i="28"/>
  <c r="Q3132" i="28"/>
  <c r="B3137" i="28"/>
  <c r="C3137" i="28"/>
  <c r="D3137" i="28"/>
  <c r="E3137" i="28"/>
  <c r="F3137" i="28"/>
  <c r="G3137" i="28"/>
  <c r="H3137" i="28"/>
  <c r="I3137" i="28"/>
  <c r="J3137" i="28"/>
  <c r="K3137" i="28"/>
  <c r="L3137" i="28"/>
  <c r="M3137" i="28"/>
  <c r="N3137" i="28"/>
  <c r="O3137" i="28"/>
  <c r="P3137" i="28"/>
  <c r="Q3137" i="28"/>
  <c r="B3138" i="28"/>
  <c r="C3138" i="28"/>
  <c r="D3138" i="28"/>
  <c r="E3138" i="28"/>
  <c r="F3138" i="28"/>
  <c r="G3138" i="28"/>
  <c r="H3138" i="28"/>
  <c r="I3138" i="28"/>
  <c r="J3138" i="28"/>
  <c r="K3138" i="28"/>
  <c r="L3138" i="28"/>
  <c r="M3138" i="28"/>
  <c r="N3138" i="28"/>
  <c r="O3138" i="28"/>
  <c r="P3138" i="28"/>
  <c r="Q3138" i="28"/>
  <c r="B3143" i="28"/>
  <c r="C3143" i="28"/>
  <c r="D3143" i="28"/>
  <c r="E3143" i="28"/>
  <c r="F3143" i="28"/>
  <c r="G3143" i="28"/>
  <c r="H3143" i="28"/>
  <c r="I3143" i="28"/>
  <c r="J3143" i="28"/>
  <c r="K3143" i="28"/>
  <c r="L3143" i="28"/>
  <c r="M3143" i="28"/>
  <c r="N3143" i="28"/>
  <c r="O3143" i="28"/>
  <c r="P3143" i="28"/>
  <c r="Q3143" i="28"/>
  <c r="B3144" i="28"/>
  <c r="C3144" i="28"/>
  <c r="D3144" i="28"/>
  <c r="E3144" i="28"/>
  <c r="F3144" i="28"/>
  <c r="G3144" i="28"/>
  <c r="H3144" i="28"/>
  <c r="I3144" i="28"/>
  <c r="J3144" i="28"/>
  <c r="K3144" i="28"/>
  <c r="L3144" i="28"/>
  <c r="M3144" i="28"/>
  <c r="N3144" i="28"/>
  <c r="O3144" i="28"/>
  <c r="P3144" i="28"/>
  <c r="Q3144" i="28"/>
  <c r="B3149" i="28"/>
  <c r="C3149" i="28"/>
  <c r="D3149" i="28"/>
  <c r="E3149" i="28"/>
  <c r="F3149" i="28"/>
  <c r="G3149" i="28"/>
  <c r="H3149" i="28"/>
  <c r="I3149" i="28"/>
  <c r="J3149" i="28"/>
  <c r="K3149" i="28"/>
  <c r="L3149" i="28"/>
  <c r="M3149" i="28"/>
  <c r="N3149" i="28"/>
  <c r="O3149" i="28"/>
  <c r="P3149" i="28"/>
  <c r="Q3149" i="28"/>
  <c r="B3150" i="28"/>
  <c r="C3150" i="28"/>
  <c r="D3150" i="28"/>
  <c r="E3150" i="28"/>
  <c r="F3150" i="28"/>
  <c r="G3150" i="28"/>
  <c r="H3150" i="28"/>
  <c r="I3150" i="28"/>
  <c r="J3150" i="28"/>
  <c r="K3150" i="28"/>
  <c r="L3150" i="28"/>
  <c r="M3150" i="28"/>
  <c r="N3150" i="28"/>
  <c r="O3150" i="28"/>
  <c r="P3150" i="28"/>
  <c r="Q3150" i="28"/>
  <c r="B3155" i="28"/>
  <c r="C3155" i="28"/>
  <c r="D3155" i="28"/>
  <c r="E3155" i="28"/>
  <c r="F3155" i="28"/>
  <c r="G3155" i="28"/>
  <c r="H3155" i="28"/>
  <c r="I3155" i="28"/>
  <c r="J3155" i="28"/>
  <c r="K3155" i="28"/>
  <c r="L3155" i="28"/>
  <c r="M3155" i="28"/>
  <c r="N3155" i="28"/>
  <c r="O3155" i="28"/>
  <c r="P3155" i="28"/>
  <c r="Q3155" i="28"/>
  <c r="B3156" i="28"/>
  <c r="C3156" i="28"/>
  <c r="D3156" i="28"/>
  <c r="E3156" i="28"/>
  <c r="F3156" i="28"/>
  <c r="G3156" i="28"/>
  <c r="H3156" i="28"/>
  <c r="I3156" i="28"/>
  <c r="J3156" i="28"/>
  <c r="K3156" i="28"/>
  <c r="L3156" i="28"/>
  <c r="M3156" i="28"/>
  <c r="N3156" i="28"/>
  <c r="O3156" i="28"/>
  <c r="P3156" i="28"/>
  <c r="Q3156" i="28"/>
  <c r="B3161" i="28"/>
  <c r="C3161" i="28"/>
  <c r="D3161" i="28"/>
  <c r="E3161" i="28"/>
  <c r="F3161" i="28"/>
  <c r="G3161" i="28"/>
  <c r="H3161" i="28"/>
  <c r="I3161" i="28"/>
  <c r="J3161" i="28"/>
  <c r="K3161" i="28"/>
  <c r="L3161" i="28"/>
  <c r="M3161" i="28"/>
  <c r="N3161" i="28"/>
  <c r="O3161" i="28"/>
  <c r="P3161" i="28"/>
  <c r="Q3161" i="28"/>
  <c r="B3162" i="28"/>
  <c r="C3162" i="28"/>
  <c r="D3162" i="28"/>
  <c r="E3162" i="28"/>
  <c r="F3162" i="28"/>
  <c r="G3162" i="28"/>
  <c r="H3162" i="28"/>
  <c r="I3162" i="28"/>
  <c r="J3162" i="28"/>
  <c r="K3162" i="28"/>
  <c r="L3162" i="28"/>
  <c r="M3162" i="28"/>
  <c r="N3162" i="28"/>
  <c r="O3162" i="28"/>
  <c r="P3162" i="28"/>
  <c r="Q3162" i="28"/>
  <c r="B3167" i="28"/>
  <c r="C3167" i="28"/>
  <c r="D3167" i="28"/>
  <c r="E3167" i="28"/>
  <c r="F3167" i="28"/>
  <c r="G3167" i="28"/>
  <c r="H3167" i="28"/>
  <c r="I3167" i="28"/>
  <c r="J3167" i="28"/>
  <c r="K3167" i="28"/>
  <c r="L3167" i="28"/>
  <c r="M3167" i="28"/>
  <c r="N3167" i="28"/>
  <c r="O3167" i="28"/>
  <c r="P3167" i="28"/>
  <c r="Q3167" i="28"/>
  <c r="B3168" i="28"/>
  <c r="C3168" i="28"/>
  <c r="D3168" i="28"/>
  <c r="E3168" i="28"/>
  <c r="F3168" i="28"/>
  <c r="G3168" i="28"/>
  <c r="H3168" i="28"/>
  <c r="I3168" i="28"/>
  <c r="J3168" i="28"/>
  <c r="K3168" i="28"/>
  <c r="L3168" i="28"/>
  <c r="M3168" i="28"/>
  <c r="N3168" i="28"/>
  <c r="O3168" i="28"/>
  <c r="P3168" i="28"/>
  <c r="Q3168" i="28"/>
  <c r="B3173" i="28"/>
  <c r="C3173" i="28"/>
  <c r="D3173" i="28"/>
  <c r="E3173" i="28"/>
  <c r="F3173" i="28"/>
  <c r="G3173" i="28"/>
  <c r="H3173" i="28"/>
  <c r="I3173" i="28"/>
  <c r="J3173" i="28"/>
  <c r="K3173" i="28"/>
  <c r="L3173" i="28"/>
  <c r="M3173" i="28"/>
  <c r="N3173" i="28"/>
  <c r="O3173" i="28"/>
  <c r="P3173" i="28"/>
  <c r="Q3173" i="28"/>
  <c r="B3174" i="28"/>
  <c r="C3174" i="28"/>
  <c r="D3174" i="28"/>
  <c r="E3174" i="28"/>
  <c r="F3174" i="28"/>
  <c r="G3174" i="28"/>
  <c r="H3174" i="28"/>
  <c r="I3174" i="28"/>
  <c r="J3174" i="28"/>
  <c r="K3174" i="28"/>
  <c r="L3174" i="28"/>
  <c r="M3174" i="28"/>
  <c r="N3174" i="28"/>
  <c r="O3174" i="28"/>
  <c r="P3174" i="28"/>
  <c r="Q3174" i="28"/>
  <c r="B3179" i="28"/>
  <c r="C3179" i="28"/>
  <c r="D3179" i="28"/>
  <c r="E3179" i="28"/>
  <c r="F3179" i="28"/>
  <c r="G3179" i="28"/>
  <c r="H3179" i="28"/>
  <c r="I3179" i="28"/>
  <c r="J3179" i="28"/>
  <c r="K3179" i="28"/>
  <c r="L3179" i="28"/>
  <c r="M3179" i="28"/>
  <c r="N3179" i="28"/>
  <c r="O3179" i="28"/>
  <c r="P3179" i="28"/>
  <c r="Q3179" i="28"/>
  <c r="B3180" i="28"/>
  <c r="C3180" i="28"/>
  <c r="D3180" i="28"/>
  <c r="E3180" i="28"/>
  <c r="F3180" i="28"/>
  <c r="G3180" i="28"/>
  <c r="H3180" i="28"/>
  <c r="I3180" i="28"/>
  <c r="J3180" i="28"/>
  <c r="K3180" i="28"/>
  <c r="L3180" i="28"/>
  <c r="M3180" i="28"/>
  <c r="N3180" i="28"/>
  <c r="O3180" i="28"/>
  <c r="P3180" i="28"/>
  <c r="Q3180" i="28"/>
  <c r="B3185" i="28"/>
  <c r="C3185" i="28"/>
  <c r="D3185" i="28"/>
  <c r="E3185" i="28"/>
  <c r="F3185" i="28"/>
  <c r="G3185" i="28"/>
  <c r="H3185" i="28"/>
  <c r="I3185" i="28"/>
  <c r="J3185" i="28"/>
  <c r="K3185" i="28"/>
  <c r="L3185" i="28"/>
  <c r="M3185" i="28"/>
  <c r="N3185" i="28"/>
  <c r="O3185" i="28"/>
  <c r="P3185" i="28"/>
  <c r="Q3185" i="28"/>
  <c r="B3186" i="28"/>
  <c r="C3186" i="28"/>
  <c r="D3186" i="28"/>
  <c r="E3186" i="28"/>
  <c r="F3186" i="28"/>
  <c r="G3186" i="28"/>
  <c r="H3186" i="28"/>
  <c r="I3186" i="28"/>
  <c r="J3186" i="28"/>
  <c r="K3186" i="28"/>
  <c r="L3186" i="28"/>
  <c r="M3186" i="28"/>
  <c r="N3186" i="28"/>
  <c r="O3186" i="28"/>
  <c r="P3186" i="28"/>
  <c r="Q3186" i="28"/>
  <c r="B3191" i="28"/>
  <c r="C3191" i="28"/>
  <c r="D3191" i="28"/>
  <c r="E3191" i="28"/>
  <c r="F3191" i="28"/>
  <c r="G3191" i="28"/>
  <c r="H3191" i="28"/>
  <c r="I3191" i="28"/>
  <c r="J3191" i="28"/>
  <c r="K3191" i="28"/>
  <c r="L3191" i="28"/>
  <c r="M3191" i="28"/>
  <c r="N3191" i="28"/>
  <c r="O3191" i="28"/>
  <c r="P3191" i="28"/>
  <c r="Q3191" i="28"/>
  <c r="B3192" i="28"/>
  <c r="C3192" i="28"/>
  <c r="D3192" i="28"/>
  <c r="E3192" i="28"/>
  <c r="F3192" i="28"/>
  <c r="G3192" i="28"/>
  <c r="H3192" i="28"/>
  <c r="I3192" i="28"/>
  <c r="J3192" i="28"/>
  <c r="K3192" i="28"/>
  <c r="L3192" i="28"/>
  <c r="M3192" i="28"/>
  <c r="N3192" i="28"/>
  <c r="O3192" i="28"/>
  <c r="P3192" i="28"/>
  <c r="Q3192" i="28"/>
  <c r="B3197" i="28"/>
  <c r="C3197" i="28"/>
  <c r="D3197" i="28"/>
  <c r="E3197" i="28"/>
  <c r="F3197" i="28"/>
  <c r="G3197" i="28"/>
  <c r="H3197" i="28"/>
  <c r="I3197" i="28"/>
  <c r="J3197" i="28"/>
  <c r="K3197" i="28"/>
  <c r="L3197" i="28"/>
  <c r="M3197" i="28"/>
  <c r="N3197" i="28"/>
  <c r="O3197" i="28"/>
  <c r="P3197" i="28"/>
  <c r="Q3197" i="28"/>
  <c r="B3198" i="28"/>
  <c r="C3198" i="28"/>
  <c r="D3198" i="28"/>
  <c r="E3198" i="28"/>
  <c r="F3198" i="28"/>
  <c r="G3198" i="28"/>
  <c r="H3198" i="28"/>
  <c r="I3198" i="28"/>
  <c r="J3198" i="28"/>
  <c r="K3198" i="28"/>
  <c r="L3198" i="28"/>
  <c r="M3198" i="28"/>
  <c r="N3198" i="28"/>
  <c r="O3198" i="28"/>
  <c r="P3198" i="28"/>
  <c r="Q3198" i="28"/>
  <c r="B3203" i="28"/>
  <c r="C3203" i="28"/>
  <c r="D3203" i="28"/>
  <c r="E3203" i="28"/>
  <c r="F3203" i="28"/>
  <c r="G3203" i="28"/>
  <c r="H3203" i="28"/>
  <c r="I3203" i="28"/>
  <c r="J3203" i="28"/>
  <c r="K3203" i="28"/>
  <c r="L3203" i="28"/>
  <c r="M3203" i="28"/>
  <c r="N3203" i="28"/>
  <c r="O3203" i="28"/>
  <c r="P3203" i="28"/>
  <c r="Q3203" i="28"/>
  <c r="B3204" i="28"/>
  <c r="C3204" i="28"/>
  <c r="D3204" i="28"/>
  <c r="E3204" i="28"/>
  <c r="F3204" i="28"/>
  <c r="G3204" i="28"/>
  <c r="H3204" i="28"/>
  <c r="I3204" i="28"/>
  <c r="J3204" i="28"/>
  <c r="K3204" i="28"/>
  <c r="L3204" i="28"/>
  <c r="M3204" i="28"/>
  <c r="N3204" i="28"/>
  <c r="O3204" i="28"/>
  <c r="P3204" i="28"/>
  <c r="Q3204" i="28"/>
  <c r="B3209" i="28"/>
  <c r="C3209" i="28"/>
  <c r="D3209" i="28"/>
  <c r="E3209" i="28"/>
  <c r="F3209" i="28"/>
  <c r="G3209" i="28"/>
  <c r="H3209" i="28"/>
  <c r="I3209" i="28"/>
  <c r="J3209" i="28"/>
  <c r="K3209" i="28"/>
  <c r="L3209" i="28"/>
  <c r="M3209" i="28"/>
  <c r="N3209" i="28"/>
  <c r="O3209" i="28"/>
  <c r="P3209" i="28"/>
  <c r="Q3209" i="28"/>
  <c r="B3210" i="28"/>
  <c r="C3210" i="28"/>
  <c r="D3210" i="28"/>
  <c r="E3210" i="28"/>
  <c r="F3210" i="28"/>
  <c r="G3210" i="28"/>
  <c r="H3210" i="28"/>
  <c r="I3210" i="28"/>
  <c r="J3210" i="28"/>
  <c r="K3210" i="28"/>
  <c r="L3210" i="28"/>
  <c r="M3210" i="28"/>
  <c r="N3210" i="28"/>
  <c r="O3210" i="28"/>
  <c r="P3210" i="28"/>
  <c r="Q3210" i="28"/>
  <c r="B3215" i="28"/>
  <c r="C3215" i="28"/>
  <c r="D3215" i="28"/>
  <c r="E3215" i="28"/>
  <c r="F3215" i="28"/>
  <c r="G3215" i="28"/>
  <c r="H3215" i="28"/>
  <c r="I3215" i="28"/>
  <c r="J3215" i="28"/>
  <c r="K3215" i="28"/>
  <c r="L3215" i="28"/>
  <c r="M3215" i="28"/>
  <c r="N3215" i="28"/>
  <c r="O3215" i="28"/>
  <c r="P3215" i="28"/>
  <c r="Q3215" i="28"/>
  <c r="B3216" i="28"/>
  <c r="C3216" i="28"/>
  <c r="D3216" i="28"/>
  <c r="E3216" i="28"/>
  <c r="F3216" i="28"/>
  <c r="G3216" i="28"/>
  <c r="H3216" i="28"/>
  <c r="I3216" i="28"/>
  <c r="J3216" i="28"/>
  <c r="K3216" i="28"/>
  <c r="L3216" i="28"/>
  <c r="M3216" i="28"/>
  <c r="N3216" i="28"/>
  <c r="O3216" i="28"/>
  <c r="P3216" i="28"/>
  <c r="Q3216" i="28"/>
  <c r="B3221" i="28"/>
  <c r="C3221" i="28"/>
  <c r="D3221" i="28"/>
  <c r="E3221" i="28"/>
  <c r="F3221" i="28"/>
  <c r="G3221" i="28"/>
  <c r="H3221" i="28"/>
  <c r="I3221" i="28"/>
  <c r="J3221" i="28"/>
  <c r="K3221" i="28"/>
  <c r="L3221" i="28"/>
  <c r="M3221" i="28"/>
  <c r="N3221" i="28"/>
  <c r="O3221" i="28"/>
  <c r="P3221" i="28"/>
  <c r="Q3221" i="28"/>
  <c r="B3222" i="28"/>
  <c r="C3222" i="28"/>
  <c r="D3222" i="28"/>
  <c r="E3222" i="28"/>
  <c r="F3222" i="28"/>
  <c r="G3222" i="28"/>
  <c r="H3222" i="28"/>
  <c r="I3222" i="28"/>
  <c r="J3222" i="28"/>
  <c r="K3222" i="28"/>
  <c r="L3222" i="28"/>
  <c r="M3222" i="28"/>
  <c r="N3222" i="28"/>
  <c r="O3222" i="28"/>
  <c r="P3222" i="28"/>
  <c r="Q3222" i="28"/>
  <c r="B3227" i="28"/>
  <c r="C3227" i="28"/>
  <c r="D3227" i="28"/>
  <c r="E3227" i="28"/>
  <c r="F3227" i="28"/>
  <c r="G3227" i="28"/>
  <c r="H3227" i="28"/>
  <c r="I3227" i="28"/>
  <c r="J3227" i="28"/>
  <c r="K3227" i="28"/>
  <c r="L3227" i="28"/>
  <c r="M3227" i="28"/>
  <c r="N3227" i="28"/>
  <c r="O3227" i="28"/>
  <c r="P3227" i="28"/>
  <c r="Q3227" i="28"/>
  <c r="B3228" i="28"/>
  <c r="C3228" i="28"/>
  <c r="D3228" i="28"/>
  <c r="E3228" i="28"/>
  <c r="F3228" i="28"/>
  <c r="G3228" i="28"/>
  <c r="H3228" i="28"/>
  <c r="I3228" i="28"/>
  <c r="J3228" i="28"/>
  <c r="K3228" i="28"/>
  <c r="L3228" i="28"/>
  <c r="M3228" i="28"/>
  <c r="N3228" i="28"/>
  <c r="O3228" i="28"/>
  <c r="P3228" i="28"/>
  <c r="Q3228" i="28"/>
  <c r="B3233" i="28"/>
  <c r="C3233" i="28"/>
  <c r="D3233" i="28"/>
  <c r="E3233" i="28"/>
  <c r="F3233" i="28"/>
  <c r="G3233" i="28"/>
  <c r="H3233" i="28"/>
  <c r="I3233" i="28"/>
  <c r="J3233" i="28"/>
  <c r="K3233" i="28"/>
  <c r="L3233" i="28"/>
  <c r="M3233" i="28"/>
  <c r="N3233" i="28"/>
  <c r="O3233" i="28"/>
  <c r="P3233" i="28"/>
  <c r="Q3233" i="28"/>
  <c r="B3234" i="28"/>
  <c r="C3234" i="28"/>
  <c r="D3234" i="28"/>
  <c r="E3234" i="28"/>
  <c r="F3234" i="28"/>
  <c r="G3234" i="28"/>
  <c r="H3234" i="28"/>
  <c r="I3234" i="28"/>
  <c r="J3234" i="28"/>
  <c r="K3234" i="28"/>
  <c r="L3234" i="28"/>
  <c r="M3234" i="28"/>
  <c r="N3234" i="28"/>
  <c r="O3234" i="28"/>
  <c r="P3234" i="28"/>
  <c r="Q3234" i="28"/>
  <c r="B3239" i="28"/>
  <c r="C3239" i="28"/>
  <c r="D3239" i="28"/>
  <c r="E3239" i="28"/>
  <c r="F3239" i="28"/>
  <c r="G3239" i="28"/>
  <c r="H3239" i="28"/>
  <c r="I3239" i="28"/>
  <c r="J3239" i="28"/>
  <c r="K3239" i="28"/>
  <c r="L3239" i="28"/>
  <c r="M3239" i="28"/>
  <c r="N3239" i="28"/>
  <c r="O3239" i="28"/>
  <c r="P3239" i="28"/>
  <c r="Q3239" i="28"/>
  <c r="B3240" i="28"/>
  <c r="C3240" i="28"/>
  <c r="D3240" i="28"/>
  <c r="E3240" i="28"/>
  <c r="F3240" i="28"/>
  <c r="G3240" i="28"/>
  <c r="H3240" i="28"/>
  <c r="I3240" i="28"/>
  <c r="J3240" i="28"/>
  <c r="K3240" i="28"/>
  <c r="L3240" i="28"/>
  <c r="M3240" i="28"/>
  <c r="N3240" i="28"/>
  <c r="O3240" i="28"/>
  <c r="P3240" i="28"/>
  <c r="Q3240" i="28"/>
  <c r="B3245" i="28"/>
  <c r="C3245" i="28"/>
  <c r="D3245" i="28"/>
  <c r="E3245" i="28"/>
  <c r="F3245" i="28"/>
  <c r="G3245" i="28"/>
  <c r="H3245" i="28"/>
  <c r="I3245" i="28"/>
  <c r="J3245" i="28"/>
  <c r="K3245" i="28"/>
  <c r="L3245" i="28"/>
  <c r="M3245" i="28"/>
  <c r="N3245" i="28"/>
  <c r="O3245" i="28"/>
  <c r="P3245" i="28"/>
  <c r="Q3245" i="28"/>
  <c r="B3246" i="28"/>
  <c r="C3246" i="28"/>
  <c r="D3246" i="28"/>
  <c r="E3246" i="28"/>
  <c r="F3246" i="28"/>
  <c r="G3246" i="28"/>
  <c r="H3246" i="28"/>
  <c r="I3246" i="28"/>
  <c r="J3246" i="28"/>
  <c r="K3246" i="28"/>
  <c r="L3246" i="28"/>
  <c r="M3246" i="28"/>
  <c r="N3246" i="28"/>
  <c r="O3246" i="28"/>
  <c r="P3246" i="28"/>
  <c r="Q3246" i="28"/>
  <c r="B3251" i="28"/>
  <c r="C3251" i="28"/>
  <c r="D3251" i="28"/>
  <c r="E3251" i="28"/>
  <c r="F3251" i="28"/>
  <c r="G3251" i="28"/>
  <c r="H3251" i="28"/>
  <c r="I3251" i="28"/>
  <c r="J3251" i="28"/>
  <c r="K3251" i="28"/>
  <c r="L3251" i="28"/>
  <c r="M3251" i="28"/>
  <c r="N3251" i="28"/>
  <c r="O3251" i="28"/>
  <c r="P3251" i="28"/>
  <c r="Q3251" i="28"/>
  <c r="B3252" i="28"/>
  <c r="C3252" i="28"/>
  <c r="D3252" i="28"/>
  <c r="E3252" i="28"/>
  <c r="F3252" i="28"/>
  <c r="G3252" i="28"/>
  <c r="H3252" i="28"/>
  <c r="I3252" i="28"/>
  <c r="J3252" i="28"/>
  <c r="K3252" i="28"/>
  <c r="L3252" i="28"/>
  <c r="M3252" i="28"/>
  <c r="N3252" i="28"/>
  <c r="O3252" i="28"/>
  <c r="P3252" i="28"/>
  <c r="Q3252" i="28"/>
  <c r="B3257" i="28"/>
  <c r="C3257" i="28"/>
  <c r="D3257" i="28"/>
  <c r="E3257" i="28"/>
  <c r="F3257" i="28"/>
  <c r="G3257" i="28"/>
  <c r="H3257" i="28"/>
  <c r="I3257" i="28"/>
  <c r="J3257" i="28"/>
  <c r="K3257" i="28"/>
  <c r="L3257" i="28"/>
  <c r="M3257" i="28"/>
  <c r="N3257" i="28"/>
  <c r="O3257" i="28"/>
  <c r="P3257" i="28"/>
  <c r="Q3257" i="28"/>
  <c r="B3258" i="28"/>
  <c r="C3258" i="28"/>
  <c r="D3258" i="28"/>
  <c r="E3258" i="28"/>
  <c r="F3258" i="28"/>
  <c r="G3258" i="28"/>
  <c r="H3258" i="28"/>
  <c r="I3258" i="28"/>
  <c r="J3258" i="28"/>
  <c r="K3258" i="28"/>
  <c r="L3258" i="28"/>
  <c r="M3258" i="28"/>
  <c r="N3258" i="28"/>
  <c r="O3258" i="28"/>
  <c r="P3258" i="28"/>
  <c r="Q3258" i="28"/>
  <c r="B3263" i="28"/>
  <c r="C3263" i="28"/>
  <c r="D3263" i="28"/>
  <c r="E3263" i="28"/>
  <c r="F3263" i="28"/>
  <c r="G3263" i="28"/>
  <c r="H3263" i="28"/>
  <c r="I3263" i="28"/>
  <c r="J3263" i="28"/>
  <c r="K3263" i="28"/>
  <c r="L3263" i="28"/>
  <c r="M3263" i="28"/>
  <c r="N3263" i="28"/>
  <c r="O3263" i="28"/>
  <c r="P3263" i="28"/>
  <c r="Q3263" i="28"/>
  <c r="B3264" i="28"/>
  <c r="C3264" i="28"/>
  <c r="D3264" i="28"/>
  <c r="E3264" i="28"/>
  <c r="F3264" i="28"/>
  <c r="G3264" i="28"/>
  <c r="H3264" i="28"/>
  <c r="I3264" i="28"/>
  <c r="J3264" i="28"/>
  <c r="K3264" i="28"/>
  <c r="L3264" i="28"/>
  <c r="M3264" i="28"/>
  <c r="N3264" i="28"/>
  <c r="O3264" i="28"/>
  <c r="P3264" i="28"/>
  <c r="Q3264" i="28"/>
  <c r="B3269" i="28"/>
  <c r="C3269" i="28"/>
  <c r="D3269" i="28"/>
  <c r="E3269" i="28"/>
  <c r="F3269" i="28"/>
  <c r="G3269" i="28"/>
  <c r="H3269" i="28"/>
  <c r="I3269" i="28"/>
  <c r="J3269" i="28"/>
  <c r="K3269" i="28"/>
  <c r="L3269" i="28"/>
  <c r="M3269" i="28"/>
  <c r="N3269" i="28"/>
  <c r="O3269" i="28"/>
  <c r="P3269" i="28"/>
  <c r="Q3269" i="28"/>
  <c r="B3270" i="28"/>
  <c r="C3270" i="28"/>
  <c r="D3270" i="28"/>
  <c r="E3270" i="28"/>
  <c r="F3270" i="28"/>
  <c r="G3270" i="28"/>
  <c r="H3270" i="28"/>
  <c r="I3270" i="28"/>
  <c r="J3270" i="28"/>
  <c r="K3270" i="28"/>
  <c r="L3270" i="28"/>
  <c r="M3270" i="28"/>
  <c r="N3270" i="28"/>
  <c r="O3270" i="28"/>
  <c r="P3270" i="28"/>
  <c r="Q3270" i="28"/>
  <c r="B3275" i="28"/>
  <c r="C3275" i="28"/>
  <c r="D3275" i="28"/>
  <c r="E3275" i="28"/>
  <c r="F3275" i="28"/>
  <c r="G3275" i="28"/>
  <c r="H3275" i="28"/>
  <c r="I3275" i="28"/>
  <c r="J3275" i="28"/>
  <c r="K3275" i="28"/>
  <c r="L3275" i="28"/>
  <c r="M3275" i="28"/>
  <c r="N3275" i="28"/>
  <c r="O3275" i="28"/>
  <c r="P3275" i="28"/>
  <c r="Q3275" i="28"/>
  <c r="B3276" i="28"/>
  <c r="C3276" i="28"/>
  <c r="D3276" i="28"/>
  <c r="E3276" i="28"/>
  <c r="F3276" i="28"/>
  <c r="G3276" i="28"/>
  <c r="H3276" i="28"/>
  <c r="I3276" i="28"/>
  <c r="J3276" i="28"/>
  <c r="K3276" i="28"/>
  <c r="L3276" i="28"/>
  <c r="M3276" i="28"/>
  <c r="N3276" i="28"/>
  <c r="O3276" i="28"/>
  <c r="P3276" i="28"/>
  <c r="Q3276" i="28"/>
  <c r="B3281" i="28"/>
  <c r="C3281" i="28"/>
  <c r="D3281" i="28"/>
  <c r="E3281" i="28"/>
  <c r="F3281" i="28"/>
  <c r="G3281" i="28"/>
  <c r="H3281" i="28"/>
  <c r="I3281" i="28"/>
  <c r="J3281" i="28"/>
  <c r="K3281" i="28"/>
  <c r="L3281" i="28"/>
  <c r="M3281" i="28"/>
  <c r="N3281" i="28"/>
  <c r="O3281" i="28"/>
  <c r="P3281" i="28"/>
  <c r="Q3281" i="28"/>
  <c r="B3282" i="28"/>
  <c r="C3282" i="28"/>
  <c r="D3282" i="28"/>
  <c r="E3282" i="28"/>
  <c r="F3282" i="28"/>
  <c r="G3282" i="28"/>
  <c r="H3282" i="28"/>
  <c r="I3282" i="28"/>
  <c r="J3282" i="28"/>
  <c r="K3282" i="28"/>
  <c r="L3282" i="28"/>
  <c r="M3282" i="28"/>
  <c r="N3282" i="28"/>
  <c r="O3282" i="28"/>
  <c r="P3282" i="28"/>
  <c r="Q3282" i="28"/>
  <c r="B3288" i="28"/>
  <c r="C3288" i="28"/>
  <c r="D3288" i="28"/>
  <c r="E3288" i="28"/>
  <c r="F3288" i="28"/>
  <c r="G3288" i="28"/>
  <c r="H3288" i="28"/>
  <c r="I3288" i="28"/>
  <c r="J3288" i="28"/>
  <c r="K3288" i="28"/>
  <c r="L3288" i="28"/>
  <c r="M3288" i="28"/>
  <c r="N3288" i="28"/>
  <c r="O3288" i="28"/>
  <c r="P3288" i="28"/>
  <c r="Q3288" i="28"/>
  <c r="R3288" i="28"/>
  <c r="S3288" i="28"/>
  <c r="T3288" i="28"/>
  <c r="U3288" i="28"/>
  <c r="V3288" i="28"/>
  <c r="W3288" i="28"/>
  <c r="X3288" i="28"/>
  <c r="Y3288" i="28"/>
  <c r="Z3288" i="28"/>
  <c r="AA3288" i="28"/>
  <c r="AB3288" i="28"/>
  <c r="AC3288" i="28"/>
  <c r="AD3288" i="28"/>
  <c r="AE3288" i="28"/>
  <c r="AF3288" i="28"/>
  <c r="AG3288" i="28"/>
  <c r="B3289" i="28"/>
  <c r="C3289" i="28"/>
  <c r="D3289" i="28"/>
  <c r="E3289" i="28"/>
  <c r="F3289" i="28"/>
  <c r="G3289" i="28"/>
  <c r="H3289" i="28"/>
  <c r="I3289" i="28"/>
  <c r="J3289" i="28"/>
  <c r="K3289" i="28"/>
  <c r="L3289" i="28"/>
  <c r="M3289" i="28"/>
  <c r="N3289" i="28"/>
  <c r="O3289" i="28"/>
  <c r="P3289" i="28"/>
  <c r="Q3289" i="28"/>
  <c r="R3289" i="28"/>
  <c r="S3289" i="28"/>
  <c r="T3289" i="28"/>
  <c r="U3289" i="28"/>
  <c r="V3289" i="28"/>
  <c r="W3289" i="28"/>
  <c r="X3289" i="28"/>
  <c r="Y3289" i="28"/>
  <c r="Z3289" i="28"/>
  <c r="AA3289" i="28"/>
  <c r="AB3289" i="28"/>
  <c r="AC3289" i="28"/>
  <c r="AD3289" i="28"/>
  <c r="AE3289" i="28"/>
  <c r="AF3289" i="28"/>
  <c r="AG3289" i="28"/>
  <c r="B3290" i="28"/>
  <c r="C3290" i="28"/>
  <c r="D3290" i="28"/>
  <c r="E3290" i="28"/>
  <c r="F3290" i="28"/>
  <c r="G3290" i="28"/>
  <c r="H3290" i="28"/>
  <c r="I3290" i="28"/>
  <c r="J3290" i="28"/>
  <c r="K3290" i="28"/>
  <c r="L3290" i="28"/>
  <c r="M3290" i="28"/>
  <c r="N3290" i="28"/>
  <c r="O3290" i="28"/>
  <c r="P3290" i="28"/>
  <c r="Q3290" i="28"/>
  <c r="R3290" i="28"/>
  <c r="S3290" i="28"/>
  <c r="T3290" i="28"/>
  <c r="U3290" i="28"/>
  <c r="V3290" i="28"/>
  <c r="W3290" i="28"/>
  <c r="X3290" i="28"/>
  <c r="Y3290" i="28"/>
  <c r="Z3290" i="28"/>
  <c r="AA3290" i="28"/>
  <c r="AB3290" i="28"/>
  <c r="AC3290" i="28"/>
  <c r="AD3290" i="28"/>
  <c r="AE3290" i="28"/>
  <c r="AF3290" i="28"/>
  <c r="AG3290" i="28"/>
  <c r="B3309" i="28"/>
  <c r="C3309" i="28"/>
  <c r="D3309" i="28"/>
  <c r="E3309" i="28"/>
  <c r="F3309" i="28"/>
  <c r="G3309" i="28"/>
  <c r="H3309" i="28"/>
  <c r="I3309" i="28"/>
  <c r="J3309" i="28"/>
  <c r="K3309" i="28"/>
  <c r="L3309" i="28"/>
  <c r="M3309" i="28"/>
  <c r="N3309" i="28"/>
  <c r="O3309" i="28"/>
  <c r="P3309" i="28"/>
  <c r="Q3309" i="28"/>
  <c r="R3309" i="28"/>
  <c r="S3309" i="28"/>
  <c r="T3309" i="28"/>
  <c r="U3309" i="28"/>
  <c r="V3309" i="28"/>
  <c r="W3309" i="28"/>
  <c r="X3309" i="28"/>
  <c r="Y3309" i="28"/>
  <c r="Z3309" i="28"/>
  <c r="AA3309" i="28"/>
  <c r="AB3309" i="28"/>
  <c r="AC3309" i="28"/>
  <c r="AD3309" i="28"/>
  <c r="AE3309" i="28"/>
  <c r="AF3309" i="28"/>
  <c r="AG3309" i="28"/>
  <c r="B3310" i="28"/>
  <c r="C3310" i="28"/>
  <c r="D3310" i="28"/>
  <c r="E3310" i="28"/>
  <c r="F3310" i="28"/>
  <c r="G3310" i="28"/>
  <c r="H3310" i="28"/>
  <c r="I3310" i="28"/>
  <c r="J3310" i="28"/>
  <c r="K3310" i="28"/>
  <c r="L3310" i="28"/>
  <c r="M3310" i="28"/>
  <c r="N3310" i="28"/>
  <c r="O3310" i="28"/>
  <c r="P3310" i="28"/>
  <c r="Q3310" i="28"/>
  <c r="R3310" i="28"/>
  <c r="S3310" i="28"/>
  <c r="T3310" i="28"/>
  <c r="U3310" i="28"/>
  <c r="V3310" i="28"/>
  <c r="W3310" i="28"/>
  <c r="X3310" i="28"/>
  <c r="Y3310" i="28"/>
  <c r="Z3310" i="28"/>
  <c r="AA3310" i="28"/>
  <c r="AB3310" i="28"/>
  <c r="AC3310" i="28"/>
  <c r="AD3310" i="28"/>
  <c r="AE3310" i="28"/>
  <c r="AF3310" i="28"/>
  <c r="AG3310" i="28"/>
  <c r="B3311" i="28"/>
  <c r="C3311" i="28"/>
  <c r="D3311" i="28"/>
  <c r="E3311" i="28"/>
  <c r="F3311" i="28"/>
  <c r="G3311" i="28"/>
  <c r="H3311" i="28"/>
  <c r="I3311" i="28"/>
  <c r="J3311" i="28"/>
  <c r="K3311" i="28"/>
  <c r="L3311" i="28"/>
  <c r="M3311" i="28"/>
  <c r="N3311" i="28"/>
  <c r="O3311" i="28"/>
  <c r="P3311" i="28"/>
  <c r="Q3311" i="28"/>
  <c r="R3311" i="28"/>
  <c r="S3311" i="28"/>
  <c r="T3311" i="28"/>
  <c r="U3311" i="28"/>
  <c r="V3311" i="28"/>
  <c r="W3311" i="28"/>
  <c r="X3311" i="28"/>
  <c r="Y3311" i="28"/>
  <c r="Z3311" i="28"/>
  <c r="AA3311" i="28"/>
  <c r="AB3311" i="28"/>
  <c r="AC3311" i="28"/>
  <c r="AD3311" i="28"/>
  <c r="AE3311" i="28"/>
  <c r="AF3311" i="28"/>
  <c r="AG3311" i="28"/>
  <c r="B3312" i="28"/>
  <c r="C3312" i="28"/>
  <c r="D3312" i="28"/>
  <c r="E3312" i="28"/>
  <c r="F3312" i="28"/>
  <c r="G3312" i="28"/>
  <c r="H3312" i="28"/>
  <c r="I3312" i="28"/>
  <c r="J3312" i="28"/>
  <c r="K3312" i="28"/>
  <c r="L3312" i="28"/>
  <c r="M3312" i="28"/>
  <c r="N3312" i="28"/>
  <c r="O3312" i="28"/>
  <c r="P3312" i="28"/>
  <c r="Q3312" i="28"/>
  <c r="R3312" i="28"/>
  <c r="S3312" i="28"/>
  <c r="T3312" i="28"/>
  <c r="U3312" i="28"/>
  <c r="V3312" i="28"/>
  <c r="W3312" i="28"/>
  <c r="X3312" i="28"/>
  <c r="Y3312" i="28"/>
  <c r="Z3312" i="28"/>
  <c r="AA3312" i="28"/>
  <c r="AB3312" i="28"/>
  <c r="AC3312" i="28"/>
  <c r="AD3312" i="28"/>
  <c r="AE3312" i="28"/>
  <c r="AF3312" i="28"/>
  <c r="AG3312" i="28"/>
  <c r="B3313" i="28"/>
  <c r="C3313" i="28"/>
  <c r="D3313" i="28"/>
  <c r="E3313" i="28"/>
  <c r="F3313" i="28"/>
  <c r="G3313" i="28"/>
  <c r="H3313" i="28"/>
  <c r="I3313" i="28"/>
  <c r="J3313" i="28"/>
  <c r="K3313" i="28"/>
  <c r="L3313" i="28"/>
  <c r="M3313" i="28"/>
  <c r="N3313" i="28"/>
  <c r="O3313" i="28"/>
  <c r="P3313" i="28"/>
  <c r="Q3313" i="28"/>
  <c r="R3313" i="28"/>
  <c r="S3313" i="28"/>
  <c r="T3313" i="28"/>
  <c r="U3313" i="28"/>
  <c r="V3313" i="28"/>
  <c r="W3313" i="28"/>
  <c r="X3313" i="28"/>
  <c r="Y3313" i="28"/>
  <c r="Z3313" i="28"/>
  <c r="AA3313" i="28"/>
  <c r="AB3313" i="28"/>
  <c r="AC3313" i="28"/>
  <c r="AD3313" i="28"/>
  <c r="AE3313" i="28"/>
  <c r="AF3313" i="28"/>
  <c r="AG3313" i="28"/>
  <c r="B3314" i="28"/>
  <c r="C3314" i="28"/>
  <c r="D3314" i="28"/>
  <c r="E3314" i="28"/>
  <c r="F3314" i="28"/>
  <c r="G3314" i="28"/>
  <c r="H3314" i="28"/>
  <c r="I3314" i="28"/>
  <c r="J3314" i="28"/>
  <c r="K3314" i="28"/>
  <c r="L3314" i="28"/>
  <c r="M3314" i="28"/>
  <c r="N3314" i="28"/>
  <c r="O3314" i="28"/>
  <c r="P3314" i="28"/>
  <c r="Q3314" i="28"/>
  <c r="R3314" i="28"/>
  <c r="S3314" i="28"/>
  <c r="T3314" i="28"/>
  <c r="U3314" i="28"/>
  <c r="V3314" i="28"/>
  <c r="W3314" i="28"/>
  <c r="X3314" i="28"/>
  <c r="Y3314" i="28"/>
  <c r="Z3314" i="28"/>
  <c r="AA3314" i="28"/>
  <c r="AB3314" i="28"/>
  <c r="AC3314" i="28"/>
  <c r="AD3314" i="28"/>
  <c r="AE3314" i="28"/>
  <c r="AF3314" i="28"/>
  <c r="AG3314" i="28"/>
  <c r="B3315" i="28"/>
  <c r="C3315" i="28"/>
  <c r="D3315" i="28"/>
  <c r="E3315" i="28"/>
  <c r="F3315" i="28"/>
  <c r="G3315" i="28"/>
  <c r="H3315" i="28"/>
  <c r="I3315" i="28"/>
  <c r="J3315" i="28"/>
  <c r="K3315" i="28"/>
  <c r="L3315" i="28"/>
  <c r="M3315" i="28"/>
  <c r="N3315" i="28"/>
  <c r="O3315" i="28"/>
  <c r="P3315" i="28"/>
  <c r="Q3315" i="28"/>
  <c r="R3315" i="28"/>
  <c r="S3315" i="28"/>
  <c r="T3315" i="28"/>
  <c r="U3315" i="28"/>
  <c r="V3315" i="28"/>
  <c r="W3315" i="28"/>
  <c r="X3315" i="28"/>
  <c r="Y3315" i="28"/>
  <c r="Z3315" i="28"/>
  <c r="AA3315" i="28"/>
  <c r="AB3315" i="28"/>
  <c r="AC3315" i="28"/>
  <c r="AD3315" i="28"/>
  <c r="AE3315" i="28"/>
  <c r="AF3315" i="28"/>
  <c r="AG3315" i="28"/>
  <c r="B3316" i="28"/>
  <c r="C3316" i="28"/>
  <c r="D3316" i="28"/>
  <c r="E3316" i="28"/>
  <c r="F3316" i="28"/>
  <c r="G3316" i="28"/>
  <c r="H3316" i="28"/>
  <c r="I3316" i="28"/>
  <c r="J3316" i="28"/>
  <c r="K3316" i="28"/>
  <c r="L3316" i="28"/>
  <c r="M3316" i="28"/>
  <c r="N3316" i="28"/>
  <c r="O3316" i="28"/>
  <c r="P3316" i="28"/>
  <c r="Q3316" i="28"/>
  <c r="R3316" i="28"/>
  <c r="S3316" i="28"/>
  <c r="T3316" i="28"/>
  <c r="U3316" i="28"/>
  <c r="V3316" i="28"/>
  <c r="W3316" i="28"/>
  <c r="X3316" i="28"/>
  <c r="Y3316" i="28"/>
  <c r="Z3316" i="28"/>
  <c r="AA3316" i="28"/>
  <c r="AB3316" i="28"/>
  <c r="AC3316" i="28"/>
  <c r="AD3316" i="28"/>
  <c r="AE3316" i="28"/>
  <c r="AF3316" i="28"/>
  <c r="AG3316" i="28"/>
  <c r="B3317" i="28"/>
  <c r="C3317" i="28"/>
  <c r="D3317" i="28"/>
  <c r="E3317" i="28"/>
  <c r="F3317" i="28"/>
  <c r="G3317" i="28"/>
  <c r="H3317" i="28"/>
  <c r="I3317" i="28"/>
  <c r="J3317" i="28"/>
  <c r="K3317" i="28"/>
  <c r="L3317" i="28"/>
  <c r="M3317" i="28"/>
  <c r="N3317" i="28"/>
  <c r="O3317" i="28"/>
  <c r="P3317" i="28"/>
  <c r="Q3317" i="28"/>
  <c r="R3317" i="28"/>
  <c r="S3317" i="28"/>
  <c r="T3317" i="28"/>
  <c r="U3317" i="28"/>
  <c r="V3317" i="28"/>
  <c r="W3317" i="28"/>
  <c r="X3317" i="28"/>
  <c r="Y3317" i="28"/>
  <c r="Z3317" i="28"/>
  <c r="AA3317" i="28"/>
  <c r="AB3317" i="28"/>
  <c r="AC3317" i="28"/>
  <c r="AD3317" i="28"/>
  <c r="AE3317" i="28"/>
  <c r="AF3317" i="28"/>
  <c r="AG3317" i="28"/>
  <c r="B3318" i="28"/>
  <c r="C3318" i="28"/>
  <c r="D3318" i="28"/>
  <c r="E3318" i="28"/>
  <c r="F3318" i="28"/>
  <c r="G3318" i="28"/>
  <c r="H3318" i="28"/>
  <c r="I3318" i="28"/>
  <c r="J3318" i="28"/>
  <c r="K3318" i="28"/>
  <c r="L3318" i="28"/>
  <c r="M3318" i="28"/>
  <c r="N3318" i="28"/>
  <c r="O3318" i="28"/>
  <c r="P3318" i="28"/>
  <c r="Q3318" i="28"/>
  <c r="R3318" i="28"/>
  <c r="S3318" i="28"/>
  <c r="T3318" i="28"/>
  <c r="U3318" i="28"/>
  <c r="V3318" i="28"/>
  <c r="W3318" i="28"/>
  <c r="X3318" i="28"/>
  <c r="Y3318" i="28"/>
  <c r="Z3318" i="28"/>
  <c r="AA3318" i="28"/>
  <c r="AB3318" i="28"/>
  <c r="AC3318" i="28"/>
  <c r="AD3318" i="28"/>
  <c r="AE3318" i="28"/>
  <c r="AF3318" i="28"/>
  <c r="AG3318" i="28"/>
  <c r="B3319" i="28"/>
  <c r="C3319" i="28"/>
  <c r="D3319" i="28"/>
  <c r="E3319" i="28"/>
  <c r="F3319" i="28"/>
  <c r="G3319" i="28"/>
  <c r="H3319" i="28"/>
  <c r="I3319" i="28"/>
  <c r="J3319" i="28"/>
  <c r="K3319" i="28"/>
  <c r="L3319" i="28"/>
  <c r="M3319" i="28"/>
  <c r="N3319" i="28"/>
  <c r="O3319" i="28"/>
  <c r="P3319" i="28"/>
  <c r="Q3319" i="28"/>
  <c r="R3319" i="28"/>
  <c r="S3319" i="28"/>
  <c r="T3319" i="28"/>
  <c r="U3319" i="28"/>
  <c r="V3319" i="28"/>
  <c r="W3319" i="28"/>
  <c r="X3319" i="28"/>
  <c r="Y3319" i="28"/>
  <c r="Z3319" i="28"/>
  <c r="AA3319" i="28"/>
  <c r="AB3319" i="28"/>
  <c r="AC3319" i="28"/>
  <c r="AD3319" i="28"/>
  <c r="AE3319" i="28"/>
  <c r="AF3319" i="28"/>
  <c r="AG3319" i="28"/>
  <c r="B3320" i="28"/>
  <c r="C3320" i="28"/>
  <c r="D3320" i="28"/>
  <c r="E3320" i="28"/>
  <c r="F3320" i="28"/>
  <c r="G3320" i="28"/>
  <c r="H3320" i="28"/>
  <c r="I3320" i="28"/>
  <c r="J3320" i="28"/>
  <c r="K3320" i="28"/>
  <c r="L3320" i="28"/>
  <c r="M3320" i="28"/>
  <c r="N3320" i="28"/>
  <c r="O3320" i="28"/>
  <c r="P3320" i="28"/>
  <c r="Q3320" i="28"/>
  <c r="R3320" i="28"/>
  <c r="S3320" i="28"/>
  <c r="T3320" i="28"/>
  <c r="U3320" i="28"/>
  <c r="V3320" i="28"/>
  <c r="W3320" i="28"/>
  <c r="X3320" i="28"/>
  <c r="Y3320" i="28"/>
  <c r="Z3320" i="28"/>
  <c r="AA3320" i="28"/>
  <c r="AB3320" i="28"/>
  <c r="AC3320" i="28"/>
  <c r="AD3320" i="28"/>
  <c r="AE3320" i="28"/>
  <c r="AF3320" i="28"/>
  <c r="AG3320" i="28"/>
  <c r="B3321" i="28"/>
  <c r="C3321" i="28"/>
  <c r="D3321" i="28"/>
  <c r="E3321" i="28"/>
  <c r="F3321" i="28"/>
  <c r="G3321" i="28"/>
  <c r="H3321" i="28"/>
  <c r="I3321" i="28"/>
  <c r="J3321" i="28"/>
  <c r="K3321" i="28"/>
  <c r="L3321" i="28"/>
  <c r="M3321" i="28"/>
  <c r="N3321" i="28"/>
  <c r="O3321" i="28"/>
  <c r="P3321" i="28"/>
  <c r="Q3321" i="28"/>
  <c r="R3321" i="28"/>
  <c r="S3321" i="28"/>
  <c r="T3321" i="28"/>
  <c r="U3321" i="28"/>
  <c r="V3321" i="28"/>
  <c r="W3321" i="28"/>
  <c r="X3321" i="28"/>
  <c r="Y3321" i="28"/>
  <c r="Z3321" i="28"/>
  <c r="AA3321" i="28"/>
  <c r="AB3321" i="28"/>
  <c r="AC3321" i="28"/>
  <c r="AD3321" i="28"/>
  <c r="AE3321" i="28"/>
  <c r="AF3321" i="28"/>
  <c r="AG3321" i="28"/>
  <c r="B3322" i="28"/>
  <c r="C3322" i="28"/>
  <c r="D3322" i="28"/>
  <c r="E3322" i="28"/>
  <c r="F3322" i="28"/>
  <c r="G3322" i="28"/>
  <c r="H3322" i="28"/>
  <c r="I3322" i="28"/>
  <c r="J3322" i="28"/>
  <c r="K3322" i="28"/>
  <c r="L3322" i="28"/>
  <c r="M3322" i="28"/>
  <c r="N3322" i="28"/>
  <c r="O3322" i="28"/>
  <c r="P3322" i="28"/>
  <c r="Q3322" i="28"/>
  <c r="R3322" i="28"/>
  <c r="S3322" i="28"/>
  <c r="T3322" i="28"/>
  <c r="U3322" i="28"/>
  <c r="V3322" i="28"/>
  <c r="W3322" i="28"/>
  <c r="X3322" i="28"/>
  <c r="Y3322" i="28"/>
  <c r="Z3322" i="28"/>
  <c r="AA3322" i="28"/>
  <c r="AB3322" i="28"/>
  <c r="AC3322" i="28"/>
  <c r="AD3322" i="28"/>
  <c r="AE3322" i="28"/>
  <c r="AF3322" i="28"/>
  <c r="AG3322" i="28"/>
  <c r="B3323" i="28"/>
  <c r="C3323" i="28"/>
  <c r="D3323" i="28"/>
  <c r="E3323" i="28"/>
  <c r="F3323" i="28"/>
  <c r="G3323" i="28"/>
  <c r="H3323" i="28"/>
  <c r="I3323" i="28"/>
  <c r="J3323" i="28"/>
  <c r="K3323" i="28"/>
  <c r="L3323" i="28"/>
  <c r="M3323" i="28"/>
  <c r="N3323" i="28"/>
  <c r="O3323" i="28"/>
  <c r="P3323" i="28"/>
  <c r="Q3323" i="28"/>
  <c r="R3323" i="28"/>
  <c r="S3323" i="28"/>
  <c r="T3323" i="28"/>
  <c r="U3323" i="28"/>
  <c r="V3323" i="28"/>
  <c r="W3323" i="28"/>
  <c r="X3323" i="28"/>
  <c r="Y3323" i="28"/>
  <c r="Z3323" i="28"/>
  <c r="AA3323" i="28"/>
  <c r="AB3323" i="28"/>
  <c r="AC3323" i="28"/>
  <c r="AD3323" i="28"/>
  <c r="AE3323" i="28"/>
  <c r="AF3323" i="28"/>
  <c r="AG3323" i="28"/>
  <c r="B3324" i="28"/>
  <c r="C3324" i="28"/>
  <c r="D3324" i="28"/>
  <c r="E3324" i="28"/>
  <c r="F3324" i="28"/>
  <c r="G3324" i="28"/>
  <c r="H3324" i="28"/>
  <c r="I3324" i="28"/>
  <c r="J3324" i="28"/>
  <c r="K3324" i="28"/>
  <c r="L3324" i="28"/>
  <c r="M3324" i="28"/>
  <c r="N3324" i="28"/>
  <c r="O3324" i="28"/>
  <c r="P3324" i="28"/>
  <c r="Q3324" i="28"/>
  <c r="R3324" i="28"/>
  <c r="S3324" i="28"/>
  <c r="T3324" i="28"/>
  <c r="U3324" i="28"/>
  <c r="V3324" i="28"/>
  <c r="W3324" i="28"/>
  <c r="X3324" i="28"/>
  <c r="Y3324" i="28"/>
  <c r="Z3324" i="28"/>
  <c r="AA3324" i="28"/>
  <c r="AB3324" i="28"/>
  <c r="AC3324" i="28"/>
  <c r="AD3324" i="28"/>
  <c r="AE3324" i="28"/>
  <c r="AF3324" i="28"/>
  <c r="AG3324" i="28"/>
  <c r="B3327" i="28"/>
  <c r="C3327" i="28"/>
  <c r="D3327" i="28"/>
  <c r="E3327" i="28"/>
  <c r="F3327" i="28"/>
  <c r="G3327" i="28"/>
  <c r="H3327" i="28"/>
  <c r="I3327" i="28"/>
  <c r="J3327" i="28"/>
  <c r="K3327" i="28"/>
  <c r="L3327" i="28"/>
  <c r="M3327" i="28"/>
  <c r="N3327" i="28"/>
  <c r="O3327" i="28"/>
  <c r="P3327" i="28"/>
  <c r="Q3327" i="28"/>
  <c r="R3327" i="28"/>
  <c r="S3327" i="28"/>
  <c r="T3327" i="28"/>
  <c r="U3327" i="28"/>
  <c r="V3327" i="28"/>
  <c r="W3327" i="28"/>
  <c r="X3327" i="28"/>
  <c r="Y3327" i="28"/>
  <c r="Z3327" i="28"/>
  <c r="AA3327" i="28"/>
  <c r="AB3327" i="28"/>
  <c r="AC3327" i="28"/>
  <c r="AD3327" i="28"/>
  <c r="AE3327" i="28"/>
  <c r="AF3327" i="28"/>
  <c r="AG3327" i="28"/>
  <c r="B3328" i="28"/>
  <c r="C3328" i="28"/>
  <c r="D3328" i="28"/>
  <c r="E3328" i="28"/>
  <c r="F3328" i="28"/>
  <c r="G3328" i="28"/>
  <c r="H3328" i="28"/>
  <c r="I3328" i="28"/>
  <c r="J3328" i="28"/>
  <c r="K3328" i="28"/>
  <c r="L3328" i="28"/>
  <c r="M3328" i="28"/>
  <c r="N3328" i="28"/>
  <c r="O3328" i="28"/>
  <c r="P3328" i="28"/>
  <c r="Q3328" i="28"/>
  <c r="R3328" i="28"/>
  <c r="S3328" i="28"/>
  <c r="T3328" i="28"/>
  <c r="U3328" i="28"/>
  <c r="V3328" i="28"/>
  <c r="W3328" i="28"/>
  <c r="X3328" i="28"/>
  <c r="Y3328" i="28"/>
  <c r="Z3328" i="28"/>
  <c r="AA3328" i="28"/>
  <c r="AB3328" i="28"/>
  <c r="AC3328" i="28"/>
  <c r="AD3328" i="28"/>
  <c r="AE3328" i="28"/>
  <c r="AF3328" i="28"/>
  <c r="AG3328" i="28"/>
  <c r="B3329" i="28"/>
  <c r="C3329" i="28"/>
  <c r="D3329" i="28"/>
  <c r="E3329" i="28"/>
  <c r="F3329" i="28"/>
  <c r="G3329" i="28"/>
  <c r="H3329" i="28"/>
  <c r="I3329" i="28"/>
  <c r="J3329" i="28"/>
  <c r="K3329" i="28"/>
  <c r="L3329" i="28"/>
  <c r="M3329" i="28"/>
  <c r="N3329" i="28"/>
  <c r="O3329" i="28"/>
  <c r="P3329" i="28"/>
  <c r="Q3329" i="28"/>
  <c r="R3329" i="28"/>
  <c r="S3329" i="28"/>
  <c r="T3329" i="28"/>
  <c r="U3329" i="28"/>
  <c r="V3329" i="28"/>
  <c r="W3329" i="28"/>
  <c r="X3329" i="28"/>
  <c r="Y3329" i="28"/>
  <c r="Z3329" i="28"/>
  <c r="AA3329" i="28"/>
  <c r="AB3329" i="28"/>
  <c r="AC3329" i="28"/>
  <c r="AD3329" i="28"/>
  <c r="AE3329" i="28"/>
  <c r="AF3329" i="28"/>
  <c r="AG3329" i="28"/>
  <c r="B3330" i="28"/>
  <c r="C3330" i="28"/>
  <c r="D3330" i="28"/>
  <c r="E3330" i="28"/>
  <c r="F3330" i="28"/>
  <c r="G3330" i="28"/>
  <c r="H3330" i="28"/>
  <c r="I3330" i="28"/>
  <c r="J3330" i="28"/>
  <c r="K3330" i="28"/>
  <c r="L3330" i="28"/>
  <c r="M3330" i="28"/>
  <c r="N3330" i="28"/>
  <c r="O3330" i="28"/>
  <c r="P3330" i="28"/>
  <c r="Q3330" i="28"/>
  <c r="R3330" i="28"/>
  <c r="S3330" i="28"/>
  <c r="T3330" i="28"/>
  <c r="U3330" i="28"/>
  <c r="V3330" i="28"/>
  <c r="W3330" i="28"/>
  <c r="X3330" i="28"/>
  <c r="Y3330" i="28"/>
  <c r="Z3330" i="28"/>
  <c r="AA3330" i="28"/>
  <c r="AB3330" i="28"/>
  <c r="AC3330" i="28"/>
  <c r="AD3330" i="28"/>
  <c r="AE3330" i="28"/>
  <c r="AF3330" i="28"/>
  <c r="AG3330" i="28"/>
  <c r="B3331" i="28"/>
  <c r="C3331" i="28"/>
  <c r="D3331" i="28"/>
  <c r="E3331" i="28"/>
  <c r="F3331" i="28"/>
  <c r="G3331" i="28"/>
  <c r="H3331" i="28"/>
  <c r="I3331" i="28"/>
  <c r="J3331" i="28"/>
  <c r="K3331" i="28"/>
  <c r="L3331" i="28"/>
  <c r="M3331" i="28"/>
  <c r="N3331" i="28"/>
  <c r="O3331" i="28"/>
  <c r="P3331" i="28"/>
  <c r="Q3331" i="28"/>
  <c r="R3331" i="28"/>
  <c r="S3331" i="28"/>
  <c r="T3331" i="28"/>
  <c r="U3331" i="28"/>
  <c r="V3331" i="28"/>
  <c r="W3331" i="28"/>
  <c r="X3331" i="28"/>
  <c r="Y3331" i="28"/>
  <c r="Z3331" i="28"/>
  <c r="AA3331" i="28"/>
  <c r="AB3331" i="28"/>
  <c r="AC3331" i="28"/>
  <c r="AD3331" i="28"/>
  <c r="AE3331" i="28"/>
  <c r="AF3331" i="28"/>
  <c r="AG3331" i="28"/>
  <c r="B3332" i="28"/>
  <c r="C3332" i="28"/>
  <c r="D3332" i="28"/>
  <c r="E3332" i="28"/>
  <c r="F3332" i="28"/>
  <c r="G3332" i="28"/>
  <c r="H3332" i="28"/>
  <c r="I3332" i="28"/>
  <c r="J3332" i="28"/>
  <c r="K3332" i="28"/>
  <c r="L3332" i="28"/>
  <c r="M3332" i="28"/>
  <c r="N3332" i="28"/>
  <c r="O3332" i="28"/>
  <c r="P3332" i="28"/>
  <c r="Q3332" i="28"/>
  <c r="R3332" i="28"/>
  <c r="S3332" i="28"/>
  <c r="T3332" i="28"/>
  <c r="U3332" i="28"/>
  <c r="V3332" i="28"/>
  <c r="W3332" i="28"/>
  <c r="X3332" i="28"/>
  <c r="Y3332" i="28"/>
  <c r="Z3332" i="28"/>
  <c r="AA3332" i="28"/>
  <c r="AB3332" i="28"/>
  <c r="AC3332" i="28"/>
  <c r="AD3332" i="28"/>
  <c r="AE3332" i="28"/>
  <c r="AF3332" i="28"/>
  <c r="AG3332" i="28"/>
  <c r="B3333" i="28"/>
  <c r="C3333" i="28"/>
  <c r="D3333" i="28"/>
  <c r="E3333" i="28"/>
  <c r="F3333" i="28"/>
  <c r="G3333" i="28"/>
  <c r="H3333" i="28"/>
  <c r="I3333" i="28"/>
  <c r="J3333" i="28"/>
  <c r="K3333" i="28"/>
  <c r="L3333" i="28"/>
  <c r="M3333" i="28"/>
  <c r="N3333" i="28"/>
  <c r="O3333" i="28"/>
  <c r="P3333" i="28"/>
  <c r="Q3333" i="28"/>
  <c r="R3333" i="28"/>
  <c r="S3333" i="28"/>
  <c r="T3333" i="28"/>
  <c r="U3333" i="28"/>
  <c r="V3333" i="28"/>
  <c r="W3333" i="28"/>
  <c r="X3333" i="28"/>
  <c r="Y3333" i="28"/>
  <c r="Z3333" i="28"/>
  <c r="AA3333" i="28"/>
  <c r="AB3333" i="28"/>
  <c r="AC3333" i="28"/>
  <c r="AD3333" i="28"/>
  <c r="AE3333" i="28"/>
  <c r="AF3333" i="28"/>
  <c r="AG3333" i="28"/>
  <c r="B3334" i="28"/>
  <c r="C3334" i="28"/>
  <c r="D3334" i="28"/>
  <c r="E3334" i="28"/>
  <c r="F3334" i="28"/>
  <c r="G3334" i="28"/>
  <c r="H3334" i="28"/>
  <c r="I3334" i="28"/>
  <c r="J3334" i="28"/>
  <c r="K3334" i="28"/>
  <c r="L3334" i="28"/>
  <c r="M3334" i="28"/>
  <c r="N3334" i="28"/>
  <c r="O3334" i="28"/>
  <c r="P3334" i="28"/>
  <c r="Q3334" i="28"/>
  <c r="R3334" i="28"/>
  <c r="S3334" i="28"/>
  <c r="T3334" i="28"/>
  <c r="U3334" i="28"/>
  <c r="V3334" i="28"/>
  <c r="W3334" i="28"/>
  <c r="X3334" i="28"/>
  <c r="Y3334" i="28"/>
  <c r="Z3334" i="28"/>
  <c r="AA3334" i="28"/>
  <c r="AB3334" i="28"/>
  <c r="AC3334" i="28"/>
  <c r="AD3334" i="28"/>
  <c r="AE3334" i="28"/>
  <c r="AF3334" i="28"/>
  <c r="AG3334" i="28"/>
  <c r="B3335" i="28"/>
  <c r="C3335" i="28"/>
  <c r="D3335" i="28"/>
  <c r="E3335" i="28"/>
  <c r="F3335" i="28"/>
  <c r="G3335" i="28"/>
  <c r="H3335" i="28"/>
  <c r="I3335" i="28"/>
  <c r="J3335" i="28"/>
  <c r="K3335" i="28"/>
  <c r="L3335" i="28"/>
  <c r="M3335" i="28"/>
  <c r="N3335" i="28"/>
  <c r="O3335" i="28"/>
  <c r="P3335" i="28"/>
  <c r="Q3335" i="28"/>
  <c r="R3335" i="28"/>
  <c r="S3335" i="28"/>
  <c r="T3335" i="28"/>
  <c r="U3335" i="28"/>
  <c r="V3335" i="28"/>
  <c r="W3335" i="28"/>
  <c r="X3335" i="28"/>
  <c r="Y3335" i="28"/>
  <c r="Z3335" i="28"/>
  <c r="AA3335" i="28"/>
  <c r="AB3335" i="28"/>
  <c r="AC3335" i="28"/>
  <c r="AD3335" i="28"/>
  <c r="AE3335" i="28"/>
  <c r="AF3335" i="28"/>
  <c r="AG3335" i="28"/>
  <c r="B3336" i="28"/>
  <c r="C3336" i="28"/>
  <c r="D3336" i="28"/>
  <c r="E3336" i="28"/>
  <c r="F3336" i="28"/>
  <c r="G3336" i="28"/>
  <c r="H3336" i="28"/>
  <c r="I3336" i="28"/>
  <c r="J3336" i="28"/>
  <c r="K3336" i="28"/>
  <c r="L3336" i="28"/>
  <c r="M3336" i="28"/>
  <c r="N3336" i="28"/>
  <c r="O3336" i="28"/>
  <c r="P3336" i="28"/>
  <c r="Q3336" i="28"/>
  <c r="R3336" i="28"/>
  <c r="S3336" i="28"/>
  <c r="T3336" i="28"/>
  <c r="U3336" i="28"/>
  <c r="V3336" i="28"/>
  <c r="W3336" i="28"/>
  <c r="X3336" i="28"/>
  <c r="Y3336" i="28"/>
  <c r="Z3336" i="28"/>
  <c r="AA3336" i="28"/>
  <c r="AB3336" i="28"/>
  <c r="AC3336" i="28"/>
  <c r="AD3336" i="28"/>
  <c r="AE3336" i="28"/>
  <c r="AF3336" i="28"/>
  <c r="AG3336" i="28"/>
  <c r="B3337" i="28"/>
  <c r="C3337" i="28"/>
  <c r="D3337" i="28"/>
  <c r="E3337" i="28"/>
  <c r="F3337" i="28"/>
  <c r="G3337" i="28"/>
  <c r="H3337" i="28"/>
  <c r="I3337" i="28"/>
  <c r="J3337" i="28"/>
  <c r="K3337" i="28"/>
  <c r="L3337" i="28"/>
  <c r="M3337" i="28"/>
  <c r="N3337" i="28"/>
  <c r="O3337" i="28"/>
  <c r="P3337" i="28"/>
  <c r="Q3337" i="28"/>
  <c r="R3337" i="28"/>
  <c r="S3337" i="28"/>
  <c r="T3337" i="28"/>
  <c r="U3337" i="28"/>
  <c r="V3337" i="28"/>
  <c r="W3337" i="28"/>
  <c r="X3337" i="28"/>
  <c r="Y3337" i="28"/>
  <c r="Z3337" i="28"/>
  <c r="AA3337" i="28"/>
  <c r="AB3337" i="28"/>
  <c r="AC3337" i="28"/>
  <c r="AD3337" i="28"/>
  <c r="AE3337" i="28"/>
  <c r="AF3337" i="28"/>
  <c r="AG3337" i="28"/>
  <c r="B3338" i="28"/>
  <c r="C3338" i="28"/>
  <c r="D3338" i="28"/>
  <c r="E3338" i="28"/>
  <c r="F3338" i="28"/>
  <c r="G3338" i="28"/>
  <c r="H3338" i="28"/>
  <c r="I3338" i="28"/>
  <c r="J3338" i="28"/>
  <c r="K3338" i="28"/>
  <c r="L3338" i="28"/>
  <c r="M3338" i="28"/>
  <c r="N3338" i="28"/>
  <c r="O3338" i="28"/>
  <c r="P3338" i="28"/>
  <c r="Q3338" i="28"/>
  <c r="R3338" i="28"/>
  <c r="S3338" i="28"/>
  <c r="T3338" i="28"/>
  <c r="U3338" i="28"/>
  <c r="V3338" i="28"/>
  <c r="W3338" i="28"/>
  <c r="X3338" i="28"/>
  <c r="Y3338" i="28"/>
  <c r="Z3338" i="28"/>
  <c r="AA3338" i="28"/>
  <c r="AB3338" i="28"/>
  <c r="AC3338" i="28"/>
  <c r="AD3338" i="28"/>
  <c r="AE3338" i="28"/>
  <c r="AF3338" i="28"/>
  <c r="AG3338" i="28"/>
  <c r="B3339" i="28"/>
  <c r="C3339" i="28"/>
  <c r="D3339" i="28"/>
  <c r="E3339" i="28"/>
  <c r="F3339" i="28"/>
  <c r="G3339" i="28"/>
  <c r="H3339" i="28"/>
  <c r="I3339" i="28"/>
  <c r="J3339" i="28"/>
  <c r="K3339" i="28"/>
  <c r="L3339" i="28"/>
  <c r="M3339" i="28"/>
  <c r="N3339" i="28"/>
  <c r="O3339" i="28"/>
  <c r="P3339" i="28"/>
  <c r="Q3339" i="28"/>
  <c r="R3339" i="28"/>
  <c r="S3339" i="28"/>
  <c r="T3339" i="28"/>
  <c r="U3339" i="28"/>
  <c r="V3339" i="28"/>
  <c r="W3339" i="28"/>
  <c r="X3339" i="28"/>
  <c r="Y3339" i="28"/>
  <c r="Z3339" i="28"/>
  <c r="AA3339" i="28"/>
  <c r="AB3339" i="28"/>
  <c r="AC3339" i="28"/>
  <c r="AD3339" i="28"/>
  <c r="AE3339" i="28"/>
  <c r="AF3339" i="28"/>
  <c r="AG3339" i="28"/>
  <c r="B3340" i="28"/>
  <c r="C3340" i="28"/>
  <c r="D3340" i="28"/>
  <c r="E3340" i="28"/>
  <c r="F3340" i="28"/>
  <c r="G3340" i="28"/>
  <c r="H3340" i="28"/>
  <c r="I3340" i="28"/>
  <c r="J3340" i="28"/>
  <c r="K3340" i="28"/>
  <c r="L3340" i="28"/>
  <c r="M3340" i="28"/>
  <c r="N3340" i="28"/>
  <c r="O3340" i="28"/>
  <c r="P3340" i="28"/>
  <c r="Q3340" i="28"/>
  <c r="R3340" i="28"/>
  <c r="S3340" i="28"/>
  <c r="T3340" i="28"/>
  <c r="U3340" i="28"/>
  <c r="V3340" i="28"/>
  <c r="W3340" i="28"/>
  <c r="X3340" i="28"/>
  <c r="Y3340" i="28"/>
  <c r="Z3340" i="28"/>
  <c r="AA3340" i="28"/>
  <c r="AB3340" i="28"/>
  <c r="AC3340" i="28"/>
  <c r="AD3340" i="28"/>
  <c r="AE3340" i="28"/>
  <c r="AF3340" i="28"/>
  <c r="AG3340" i="28"/>
  <c r="B3341" i="28"/>
  <c r="C3341" i="28"/>
  <c r="D3341" i="28"/>
  <c r="E3341" i="28"/>
  <c r="F3341" i="28"/>
  <c r="G3341" i="28"/>
  <c r="H3341" i="28"/>
  <c r="I3341" i="28"/>
  <c r="J3341" i="28"/>
  <c r="K3341" i="28"/>
  <c r="L3341" i="28"/>
  <c r="M3341" i="28"/>
  <c r="N3341" i="28"/>
  <c r="O3341" i="28"/>
  <c r="P3341" i="28"/>
  <c r="Q3341" i="28"/>
  <c r="R3341" i="28"/>
  <c r="S3341" i="28"/>
  <c r="T3341" i="28"/>
  <c r="U3341" i="28"/>
  <c r="V3341" i="28"/>
  <c r="W3341" i="28"/>
  <c r="X3341" i="28"/>
  <c r="Y3341" i="28"/>
  <c r="Z3341" i="28"/>
  <c r="AA3341" i="28"/>
  <c r="AB3341" i="28"/>
  <c r="AC3341" i="28"/>
  <c r="AD3341" i="28"/>
  <c r="AE3341" i="28"/>
  <c r="AF3341" i="28"/>
  <c r="AG3341" i="28"/>
  <c r="B3342" i="28"/>
  <c r="C3342" i="28"/>
  <c r="D3342" i="28"/>
  <c r="E3342" i="28"/>
  <c r="F3342" i="28"/>
  <c r="G3342" i="28"/>
  <c r="H3342" i="28"/>
  <c r="I3342" i="28"/>
  <c r="J3342" i="28"/>
  <c r="K3342" i="28"/>
  <c r="L3342" i="28"/>
  <c r="M3342" i="28"/>
  <c r="N3342" i="28"/>
  <c r="O3342" i="28"/>
  <c r="P3342" i="28"/>
  <c r="Q3342" i="28"/>
  <c r="R3342" i="28"/>
  <c r="S3342" i="28"/>
  <c r="T3342" i="28"/>
  <c r="U3342" i="28"/>
  <c r="V3342" i="28"/>
  <c r="W3342" i="28"/>
  <c r="X3342" i="28"/>
  <c r="Y3342" i="28"/>
  <c r="Z3342" i="28"/>
  <c r="AA3342" i="28"/>
  <c r="AB3342" i="28"/>
  <c r="AC3342" i="28"/>
  <c r="AD3342" i="28"/>
  <c r="AE3342" i="28"/>
  <c r="AF3342" i="28"/>
  <c r="AG3342" i="28"/>
  <c r="B3345" i="28"/>
  <c r="C3345" i="28"/>
  <c r="D3345" i="28"/>
  <c r="E3345" i="28"/>
  <c r="F3345" i="28"/>
  <c r="G3345" i="28"/>
  <c r="H3345" i="28"/>
  <c r="I3345" i="28"/>
  <c r="J3345" i="28"/>
  <c r="K3345" i="28"/>
  <c r="L3345" i="28"/>
  <c r="M3345" i="28"/>
  <c r="N3345" i="28"/>
  <c r="O3345" i="28"/>
  <c r="P3345" i="28"/>
  <c r="Q3345" i="28"/>
  <c r="R3345" i="28"/>
  <c r="S3345" i="28"/>
  <c r="T3345" i="28"/>
  <c r="U3345" i="28"/>
  <c r="V3345" i="28"/>
  <c r="W3345" i="28"/>
  <c r="X3345" i="28"/>
  <c r="Y3345" i="28"/>
  <c r="Z3345" i="28"/>
  <c r="AA3345" i="28"/>
  <c r="AB3345" i="28"/>
  <c r="AC3345" i="28"/>
  <c r="AD3345" i="28"/>
  <c r="AE3345" i="28"/>
  <c r="AF3345" i="28"/>
  <c r="AG3345" i="28"/>
  <c r="B3346" i="28"/>
  <c r="C3346" i="28"/>
  <c r="D3346" i="28"/>
  <c r="E3346" i="28"/>
  <c r="F3346" i="28"/>
  <c r="G3346" i="28"/>
  <c r="H3346" i="28"/>
  <c r="I3346" i="28"/>
  <c r="J3346" i="28"/>
  <c r="K3346" i="28"/>
  <c r="L3346" i="28"/>
  <c r="M3346" i="28"/>
  <c r="N3346" i="28"/>
  <c r="O3346" i="28"/>
  <c r="P3346" i="28"/>
  <c r="Q3346" i="28"/>
  <c r="R3346" i="28"/>
  <c r="S3346" i="28"/>
  <c r="T3346" i="28"/>
  <c r="U3346" i="28"/>
  <c r="V3346" i="28"/>
  <c r="W3346" i="28"/>
  <c r="X3346" i="28"/>
  <c r="Y3346" i="28"/>
  <c r="Z3346" i="28"/>
  <c r="AA3346" i="28"/>
  <c r="AB3346" i="28"/>
  <c r="AC3346" i="28"/>
  <c r="AD3346" i="28"/>
  <c r="AE3346" i="28"/>
  <c r="AF3346" i="28"/>
  <c r="AG3346" i="28"/>
  <c r="B3347" i="28"/>
  <c r="C3347" i="28"/>
  <c r="D3347" i="28"/>
  <c r="E3347" i="28"/>
  <c r="F3347" i="28"/>
  <c r="G3347" i="28"/>
  <c r="H3347" i="28"/>
  <c r="I3347" i="28"/>
  <c r="J3347" i="28"/>
  <c r="K3347" i="28"/>
  <c r="L3347" i="28"/>
  <c r="M3347" i="28"/>
  <c r="N3347" i="28"/>
  <c r="O3347" i="28"/>
  <c r="P3347" i="28"/>
  <c r="Q3347" i="28"/>
  <c r="R3347" i="28"/>
  <c r="S3347" i="28"/>
  <c r="T3347" i="28"/>
  <c r="U3347" i="28"/>
  <c r="V3347" i="28"/>
  <c r="W3347" i="28"/>
  <c r="X3347" i="28"/>
  <c r="Y3347" i="28"/>
  <c r="Z3347" i="28"/>
  <c r="AA3347" i="28"/>
  <c r="AB3347" i="28"/>
  <c r="AC3347" i="28"/>
  <c r="AD3347" i="28"/>
  <c r="AE3347" i="28"/>
  <c r="AF3347" i="28"/>
  <c r="AG3347" i="28"/>
  <c r="B3348" i="28"/>
  <c r="C3348" i="28"/>
  <c r="D3348" i="28"/>
  <c r="E3348" i="28"/>
  <c r="F3348" i="28"/>
  <c r="G3348" i="28"/>
  <c r="H3348" i="28"/>
  <c r="I3348" i="28"/>
  <c r="J3348" i="28"/>
  <c r="K3348" i="28"/>
  <c r="L3348" i="28"/>
  <c r="M3348" i="28"/>
  <c r="N3348" i="28"/>
  <c r="O3348" i="28"/>
  <c r="P3348" i="28"/>
  <c r="Q3348" i="28"/>
  <c r="R3348" i="28"/>
  <c r="S3348" i="28"/>
  <c r="T3348" i="28"/>
  <c r="U3348" i="28"/>
  <c r="V3348" i="28"/>
  <c r="W3348" i="28"/>
  <c r="X3348" i="28"/>
  <c r="Y3348" i="28"/>
  <c r="Z3348" i="28"/>
  <c r="AA3348" i="28"/>
  <c r="AB3348" i="28"/>
  <c r="AC3348" i="28"/>
  <c r="AD3348" i="28"/>
  <c r="AE3348" i="28"/>
  <c r="AF3348" i="28"/>
  <c r="AG3348" i="28"/>
  <c r="B3349" i="28"/>
  <c r="C3349" i="28"/>
  <c r="D3349" i="28"/>
  <c r="E3349" i="28"/>
  <c r="F3349" i="28"/>
  <c r="G3349" i="28"/>
  <c r="H3349" i="28"/>
  <c r="I3349" i="28"/>
  <c r="J3349" i="28"/>
  <c r="K3349" i="28"/>
  <c r="L3349" i="28"/>
  <c r="M3349" i="28"/>
  <c r="N3349" i="28"/>
  <c r="O3349" i="28"/>
  <c r="P3349" i="28"/>
  <c r="Q3349" i="28"/>
  <c r="R3349" i="28"/>
  <c r="S3349" i="28"/>
  <c r="T3349" i="28"/>
  <c r="U3349" i="28"/>
  <c r="V3349" i="28"/>
  <c r="W3349" i="28"/>
  <c r="X3349" i="28"/>
  <c r="Y3349" i="28"/>
  <c r="Z3349" i="28"/>
  <c r="AA3349" i="28"/>
  <c r="AB3349" i="28"/>
  <c r="AC3349" i="28"/>
  <c r="AD3349" i="28"/>
  <c r="AE3349" i="28"/>
  <c r="AF3349" i="28"/>
  <c r="AG3349" i="28"/>
  <c r="B3350" i="28"/>
  <c r="C3350" i="28"/>
  <c r="D3350" i="28"/>
  <c r="E3350" i="28"/>
  <c r="F3350" i="28"/>
  <c r="G3350" i="28"/>
  <c r="H3350" i="28"/>
  <c r="I3350" i="28"/>
  <c r="J3350" i="28"/>
  <c r="K3350" i="28"/>
  <c r="L3350" i="28"/>
  <c r="M3350" i="28"/>
  <c r="N3350" i="28"/>
  <c r="O3350" i="28"/>
  <c r="P3350" i="28"/>
  <c r="Q3350" i="28"/>
  <c r="R3350" i="28"/>
  <c r="S3350" i="28"/>
  <c r="T3350" i="28"/>
  <c r="U3350" i="28"/>
  <c r="V3350" i="28"/>
  <c r="W3350" i="28"/>
  <c r="X3350" i="28"/>
  <c r="Y3350" i="28"/>
  <c r="Z3350" i="28"/>
  <c r="AA3350" i="28"/>
  <c r="AB3350" i="28"/>
  <c r="AC3350" i="28"/>
  <c r="AD3350" i="28"/>
  <c r="AE3350" i="28"/>
  <c r="AF3350" i="28"/>
  <c r="AG3350" i="28"/>
  <c r="B3351" i="28"/>
  <c r="C3351" i="28"/>
  <c r="D3351" i="28"/>
  <c r="E3351" i="28"/>
  <c r="F3351" i="28"/>
  <c r="G3351" i="28"/>
  <c r="H3351" i="28"/>
  <c r="I3351" i="28"/>
  <c r="J3351" i="28"/>
  <c r="K3351" i="28"/>
  <c r="L3351" i="28"/>
  <c r="M3351" i="28"/>
  <c r="N3351" i="28"/>
  <c r="O3351" i="28"/>
  <c r="P3351" i="28"/>
  <c r="Q3351" i="28"/>
  <c r="R3351" i="28"/>
  <c r="S3351" i="28"/>
  <c r="T3351" i="28"/>
  <c r="U3351" i="28"/>
  <c r="V3351" i="28"/>
  <c r="W3351" i="28"/>
  <c r="X3351" i="28"/>
  <c r="Y3351" i="28"/>
  <c r="Z3351" i="28"/>
  <c r="AA3351" i="28"/>
  <c r="AB3351" i="28"/>
  <c r="AC3351" i="28"/>
  <c r="AD3351" i="28"/>
  <c r="AE3351" i="28"/>
  <c r="AF3351" i="28"/>
  <c r="AG3351" i="28"/>
  <c r="B3352" i="28"/>
  <c r="C3352" i="28"/>
  <c r="D3352" i="28"/>
  <c r="E3352" i="28"/>
  <c r="F3352" i="28"/>
  <c r="G3352" i="28"/>
  <c r="H3352" i="28"/>
  <c r="I3352" i="28"/>
  <c r="J3352" i="28"/>
  <c r="K3352" i="28"/>
  <c r="L3352" i="28"/>
  <c r="M3352" i="28"/>
  <c r="N3352" i="28"/>
  <c r="O3352" i="28"/>
  <c r="P3352" i="28"/>
  <c r="Q3352" i="28"/>
  <c r="R3352" i="28"/>
  <c r="S3352" i="28"/>
  <c r="T3352" i="28"/>
  <c r="U3352" i="28"/>
  <c r="V3352" i="28"/>
  <c r="W3352" i="28"/>
  <c r="X3352" i="28"/>
  <c r="Y3352" i="28"/>
  <c r="Z3352" i="28"/>
  <c r="AA3352" i="28"/>
  <c r="AB3352" i="28"/>
  <c r="AC3352" i="28"/>
  <c r="AD3352" i="28"/>
  <c r="AE3352" i="28"/>
  <c r="AF3352" i="28"/>
  <c r="AG3352" i="28"/>
  <c r="B3353" i="28"/>
  <c r="C3353" i="28"/>
  <c r="D3353" i="28"/>
  <c r="E3353" i="28"/>
  <c r="F3353" i="28"/>
  <c r="G3353" i="28"/>
  <c r="H3353" i="28"/>
  <c r="I3353" i="28"/>
  <c r="J3353" i="28"/>
  <c r="K3353" i="28"/>
  <c r="L3353" i="28"/>
  <c r="M3353" i="28"/>
  <c r="N3353" i="28"/>
  <c r="O3353" i="28"/>
  <c r="P3353" i="28"/>
  <c r="Q3353" i="28"/>
  <c r="R3353" i="28"/>
  <c r="S3353" i="28"/>
  <c r="T3353" i="28"/>
  <c r="U3353" i="28"/>
  <c r="V3353" i="28"/>
  <c r="W3353" i="28"/>
  <c r="X3353" i="28"/>
  <c r="Y3353" i="28"/>
  <c r="Z3353" i="28"/>
  <c r="AA3353" i="28"/>
  <c r="AB3353" i="28"/>
  <c r="AC3353" i="28"/>
  <c r="AD3353" i="28"/>
  <c r="AE3353" i="28"/>
  <c r="AF3353" i="28"/>
  <c r="AG3353" i="28"/>
  <c r="B3354" i="28"/>
  <c r="C3354" i="28"/>
  <c r="D3354" i="28"/>
  <c r="E3354" i="28"/>
  <c r="F3354" i="28"/>
  <c r="G3354" i="28"/>
  <c r="H3354" i="28"/>
  <c r="I3354" i="28"/>
  <c r="J3354" i="28"/>
  <c r="K3354" i="28"/>
  <c r="L3354" i="28"/>
  <c r="M3354" i="28"/>
  <c r="N3354" i="28"/>
  <c r="O3354" i="28"/>
  <c r="P3354" i="28"/>
  <c r="Q3354" i="28"/>
  <c r="R3354" i="28"/>
  <c r="S3354" i="28"/>
  <c r="T3354" i="28"/>
  <c r="U3354" i="28"/>
  <c r="V3354" i="28"/>
  <c r="W3354" i="28"/>
  <c r="X3354" i="28"/>
  <c r="Y3354" i="28"/>
  <c r="Z3354" i="28"/>
  <c r="AA3354" i="28"/>
  <c r="AB3354" i="28"/>
  <c r="AC3354" i="28"/>
  <c r="AD3354" i="28"/>
  <c r="AE3354" i="28"/>
  <c r="AF3354" i="28"/>
  <c r="AG3354" i="28"/>
  <c r="B3355" i="28"/>
  <c r="C3355" i="28"/>
  <c r="D3355" i="28"/>
  <c r="E3355" i="28"/>
  <c r="F3355" i="28"/>
  <c r="G3355" i="28"/>
  <c r="H3355" i="28"/>
  <c r="I3355" i="28"/>
  <c r="J3355" i="28"/>
  <c r="K3355" i="28"/>
  <c r="L3355" i="28"/>
  <c r="M3355" i="28"/>
  <c r="N3355" i="28"/>
  <c r="O3355" i="28"/>
  <c r="P3355" i="28"/>
  <c r="Q3355" i="28"/>
  <c r="R3355" i="28"/>
  <c r="S3355" i="28"/>
  <c r="T3355" i="28"/>
  <c r="U3355" i="28"/>
  <c r="V3355" i="28"/>
  <c r="W3355" i="28"/>
  <c r="X3355" i="28"/>
  <c r="Y3355" i="28"/>
  <c r="Z3355" i="28"/>
  <c r="AA3355" i="28"/>
  <c r="AB3355" i="28"/>
  <c r="AC3355" i="28"/>
  <c r="AD3355" i="28"/>
  <c r="AE3355" i="28"/>
  <c r="AF3355" i="28"/>
  <c r="AG3355" i="28"/>
  <c r="B3356" i="28"/>
  <c r="C3356" i="28"/>
  <c r="D3356" i="28"/>
  <c r="E3356" i="28"/>
  <c r="F3356" i="28"/>
  <c r="G3356" i="28"/>
  <c r="H3356" i="28"/>
  <c r="I3356" i="28"/>
  <c r="J3356" i="28"/>
  <c r="K3356" i="28"/>
  <c r="L3356" i="28"/>
  <c r="M3356" i="28"/>
  <c r="N3356" i="28"/>
  <c r="O3356" i="28"/>
  <c r="P3356" i="28"/>
  <c r="Q3356" i="28"/>
  <c r="R3356" i="28"/>
  <c r="S3356" i="28"/>
  <c r="T3356" i="28"/>
  <c r="U3356" i="28"/>
  <c r="V3356" i="28"/>
  <c r="W3356" i="28"/>
  <c r="X3356" i="28"/>
  <c r="Y3356" i="28"/>
  <c r="Z3356" i="28"/>
  <c r="AA3356" i="28"/>
  <c r="AB3356" i="28"/>
  <c r="AC3356" i="28"/>
  <c r="AD3356" i="28"/>
  <c r="AE3356" i="28"/>
  <c r="AF3356" i="28"/>
  <c r="AG3356" i="28"/>
  <c r="B3357" i="28"/>
  <c r="C3357" i="28"/>
  <c r="D3357" i="28"/>
  <c r="E3357" i="28"/>
  <c r="F3357" i="28"/>
  <c r="G3357" i="28"/>
  <c r="H3357" i="28"/>
  <c r="I3357" i="28"/>
  <c r="J3357" i="28"/>
  <c r="K3357" i="28"/>
  <c r="L3357" i="28"/>
  <c r="M3357" i="28"/>
  <c r="N3357" i="28"/>
  <c r="O3357" i="28"/>
  <c r="P3357" i="28"/>
  <c r="Q3357" i="28"/>
  <c r="R3357" i="28"/>
  <c r="S3357" i="28"/>
  <c r="T3357" i="28"/>
  <c r="U3357" i="28"/>
  <c r="V3357" i="28"/>
  <c r="W3357" i="28"/>
  <c r="X3357" i="28"/>
  <c r="Y3357" i="28"/>
  <c r="Z3357" i="28"/>
  <c r="AA3357" i="28"/>
  <c r="AB3357" i="28"/>
  <c r="AC3357" i="28"/>
  <c r="AD3357" i="28"/>
  <c r="AE3357" i="28"/>
  <c r="AF3357" i="28"/>
  <c r="AG3357" i="28"/>
  <c r="B3358" i="28"/>
  <c r="C3358" i="28"/>
  <c r="D3358" i="28"/>
  <c r="E3358" i="28"/>
  <c r="F3358" i="28"/>
  <c r="G3358" i="28"/>
  <c r="H3358" i="28"/>
  <c r="I3358" i="28"/>
  <c r="J3358" i="28"/>
  <c r="K3358" i="28"/>
  <c r="L3358" i="28"/>
  <c r="M3358" i="28"/>
  <c r="N3358" i="28"/>
  <c r="O3358" i="28"/>
  <c r="P3358" i="28"/>
  <c r="Q3358" i="28"/>
  <c r="R3358" i="28"/>
  <c r="S3358" i="28"/>
  <c r="T3358" i="28"/>
  <c r="U3358" i="28"/>
  <c r="V3358" i="28"/>
  <c r="W3358" i="28"/>
  <c r="X3358" i="28"/>
  <c r="Y3358" i="28"/>
  <c r="Z3358" i="28"/>
  <c r="AA3358" i="28"/>
  <c r="AB3358" i="28"/>
  <c r="AC3358" i="28"/>
  <c r="AD3358" i="28"/>
  <c r="AE3358" i="28"/>
  <c r="AF3358" i="28"/>
  <c r="AG3358" i="28"/>
  <c r="B3359" i="28"/>
  <c r="C3359" i="28"/>
  <c r="D3359" i="28"/>
  <c r="E3359" i="28"/>
  <c r="F3359" i="28"/>
  <c r="G3359" i="28"/>
  <c r="H3359" i="28"/>
  <c r="I3359" i="28"/>
  <c r="J3359" i="28"/>
  <c r="K3359" i="28"/>
  <c r="L3359" i="28"/>
  <c r="M3359" i="28"/>
  <c r="N3359" i="28"/>
  <c r="O3359" i="28"/>
  <c r="P3359" i="28"/>
  <c r="Q3359" i="28"/>
  <c r="R3359" i="28"/>
  <c r="S3359" i="28"/>
  <c r="T3359" i="28"/>
  <c r="U3359" i="28"/>
  <c r="V3359" i="28"/>
  <c r="W3359" i="28"/>
  <c r="X3359" i="28"/>
  <c r="Y3359" i="28"/>
  <c r="Z3359" i="28"/>
  <c r="AA3359" i="28"/>
  <c r="AB3359" i="28"/>
  <c r="AC3359" i="28"/>
  <c r="AD3359" i="28"/>
  <c r="AE3359" i="28"/>
  <c r="AF3359" i="28"/>
  <c r="AG3359" i="28"/>
  <c r="B3360" i="28"/>
  <c r="C3360" i="28"/>
  <c r="D3360" i="28"/>
  <c r="E3360" i="28"/>
  <c r="F3360" i="28"/>
  <c r="G3360" i="28"/>
  <c r="H3360" i="28"/>
  <c r="I3360" i="28"/>
  <c r="J3360" i="28"/>
  <c r="K3360" i="28"/>
  <c r="L3360" i="28"/>
  <c r="M3360" i="28"/>
  <c r="N3360" i="28"/>
  <c r="O3360" i="28"/>
  <c r="P3360" i="28"/>
  <c r="Q3360" i="28"/>
  <c r="R3360" i="28"/>
  <c r="S3360" i="28"/>
  <c r="T3360" i="28"/>
  <c r="U3360" i="28"/>
  <c r="V3360" i="28"/>
  <c r="W3360" i="28"/>
  <c r="X3360" i="28"/>
  <c r="Y3360" i="28"/>
  <c r="Z3360" i="28"/>
  <c r="AA3360" i="28"/>
  <c r="AB3360" i="28"/>
  <c r="AC3360" i="28"/>
  <c r="AD3360" i="28"/>
  <c r="AE3360" i="28"/>
  <c r="AF3360" i="28"/>
  <c r="AG3360" i="28"/>
  <c r="B3413" i="28"/>
  <c r="O40" i="17" s="1"/>
  <c r="C3413" i="28"/>
  <c r="O41" i="17" s="1"/>
  <c r="D3413" i="28"/>
  <c r="E3413" i="28"/>
  <c r="B3417" i="28"/>
  <c r="B3419" i="28"/>
  <c r="B3421" i="28"/>
  <c r="B3422" i="28"/>
  <c r="B3514" i="28"/>
  <c r="B3515" i="28"/>
  <c r="B3516" i="28"/>
  <c r="B3517" i="28"/>
  <c r="B3518" i="28"/>
  <c r="B3519" i="28"/>
  <c r="B3521" i="28"/>
  <c r="B3523" i="28"/>
  <c r="B3524" i="28"/>
  <c r="B3527" i="28"/>
  <c r="B3529" i="28"/>
  <c r="B3541" i="28"/>
  <c r="C3541" i="28"/>
  <c r="D3541" i="28"/>
  <c r="E3541" i="28"/>
  <c r="F3541" i="28"/>
  <c r="G3541" i="28"/>
  <c r="H3541" i="28"/>
  <c r="I3541" i="28"/>
  <c r="J3541" i="28"/>
  <c r="K3541" i="28"/>
  <c r="L3541" i="28"/>
  <c r="M3541" i="28"/>
  <c r="N3541" i="28"/>
  <c r="O3541" i="28"/>
  <c r="P3541" i="28"/>
  <c r="Q3541" i="28"/>
  <c r="R3541" i="28"/>
  <c r="S3541" i="28"/>
  <c r="T3541" i="28"/>
  <c r="U3541" i="28"/>
  <c r="V3541" i="28"/>
  <c r="W3541" i="28"/>
  <c r="X3541" i="28"/>
  <c r="Y3541" i="28"/>
  <c r="Z3541" i="28"/>
  <c r="AA3541" i="28"/>
  <c r="AB3541" i="28"/>
  <c r="AC3541" i="28"/>
  <c r="AD3541" i="28"/>
  <c r="AE3541" i="28"/>
  <c r="AF3541" i="28"/>
  <c r="AG3541" i="28"/>
  <c r="AH3541" i="28"/>
  <c r="AI3541" i="28"/>
  <c r="AJ3541" i="28"/>
  <c r="AK3541" i="28"/>
  <c r="AL3541" i="28"/>
  <c r="AM3541" i="28"/>
  <c r="AN3541" i="28"/>
  <c r="AO3541" i="28"/>
  <c r="AP3541" i="28"/>
  <c r="AQ3541" i="28"/>
  <c r="AR3541" i="28"/>
  <c r="AS3541" i="28"/>
  <c r="AT3541" i="28"/>
  <c r="AU3541" i="28"/>
  <c r="AV3541" i="28"/>
  <c r="AW3541" i="28"/>
  <c r="AX3541" i="28"/>
  <c r="AY3541" i="28"/>
  <c r="AZ3541" i="28"/>
  <c r="BA3541" i="28"/>
  <c r="BB3541" i="28"/>
  <c r="BC3541" i="28"/>
  <c r="BD3541" i="28"/>
  <c r="BE3541" i="28"/>
  <c r="BF3541" i="28"/>
  <c r="BG3541" i="28"/>
  <c r="BH3541" i="28"/>
  <c r="BI3541" i="28"/>
  <c r="BJ3541" i="28"/>
  <c r="BK3541" i="28"/>
  <c r="BL3541" i="28"/>
  <c r="BM3541" i="28"/>
  <c r="BN3541" i="28"/>
  <c r="BO3541" i="28"/>
  <c r="BP3541" i="28"/>
  <c r="BQ3541" i="28"/>
  <c r="BR3541" i="28"/>
  <c r="BS3541" i="28"/>
  <c r="BT3541" i="28"/>
  <c r="BU3541" i="28"/>
  <c r="BV3541" i="28"/>
  <c r="BW3541" i="28"/>
  <c r="BX3541" i="28"/>
  <c r="BY3541" i="28"/>
  <c r="BZ3541" i="28"/>
  <c r="CA3541" i="28"/>
  <c r="CB3541" i="28"/>
  <c r="CC3541" i="28"/>
  <c r="CD3541" i="28"/>
  <c r="CE3541" i="28"/>
  <c r="CF3541" i="28"/>
  <c r="CG3541" i="28"/>
  <c r="CH3541" i="28"/>
  <c r="CI3541" i="28"/>
  <c r="CJ3541" i="28"/>
  <c r="CK3541" i="28"/>
  <c r="CL3541" i="28"/>
  <c r="CM3541" i="28"/>
  <c r="CN3541" i="28"/>
  <c r="CO3541" i="28"/>
  <c r="CP3541" i="28"/>
  <c r="CQ3541" i="28"/>
  <c r="CR3541" i="28"/>
  <c r="CS3541" i="28"/>
  <c r="CT3541" i="28"/>
  <c r="CU3541" i="28"/>
  <c r="CV3541" i="28"/>
  <c r="CW3541" i="28"/>
  <c r="CX3541" i="28"/>
  <c r="CY3541" i="28"/>
  <c r="CZ3541" i="28"/>
  <c r="DA3541" i="28"/>
  <c r="DB3541" i="28"/>
  <c r="DC3541" i="28"/>
  <c r="DD3541" i="28"/>
  <c r="DE3541" i="28"/>
  <c r="DF3541" i="28"/>
  <c r="DG3541" i="28"/>
  <c r="DH3541" i="28"/>
  <c r="DI3541" i="28"/>
  <c r="DJ3541" i="28"/>
  <c r="DK3541" i="28"/>
  <c r="DL3541" i="28"/>
  <c r="DM3541" i="28"/>
  <c r="DN3541" i="28"/>
  <c r="DO3541" i="28"/>
  <c r="DP3541" i="28"/>
  <c r="DQ3541" i="28"/>
  <c r="DR3541" i="28"/>
  <c r="DS3541" i="28"/>
  <c r="DT3541" i="28"/>
  <c r="DU3541" i="28"/>
  <c r="DV3541" i="28"/>
  <c r="DW3541" i="28"/>
  <c r="DX3541" i="28"/>
  <c r="DY3541" i="28"/>
  <c r="B3542" i="28"/>
  <c r="C3542" i="28"/>
  <c r="D3542" i="28"/>
  <c r="E3542" i="28"/>
  <c r="F3542" i="28"/>
  <c r="G3542" i="28"/>
  <c r="H3542" i="28"/>
  <c r="I3542" i="28"/>
  <c r="J3542" i="28"/>
  <c r="K3542" i="28"/>
  <c r="L3542" i="28"/>
  <c r="M3542" i="28"/>
  <c r="N3542" i="28"/>
  <c r="O3542" i="28"/>
  <c r="P3542" i="28"/>
  <c r="Q3542" i="28"/>
  <c r="R3542" i="28"/>
  <c r="S3542" i="28"/>
  <c r="T3542" i="28"/>
  <c r="U3542" i="28"/>
  <c r="V3542" i="28"/>
  <c r="W3542" i="28"/>
  <c r="X3542" i="28"/>
  <c r="Y3542" i="28"/>
  <c r="Z3542" i="28"/>
  <c r="AA3542" i="28"/>
  <c r="AB3542" i="28"/>
  <c r="AC3542" i="28"/>
  <c r="AD3542" i="28"/>
  <c r="AE3542" i="28"/>
  <c r="AF3542" i="28"/>
  <c r="AG3542" i="28"/>
  <c r="AH3542" i="28"/>
  <c r="AI3542" i="28"/>
  <c r="AJ3542" i="28"/>
  <c r="AK3542" i="28"/>
  <c r="AL3542" i="28"/>
  <c r="AM3542" i="28"/>
  <c r="AN3542" i="28"/>
  <c r="AO3542" i="28"/>
  <c r="AP3542" i="28"/>
  <c r="AQ3542" i="28"/>
  <c r="AR3542" i="28"/>
  <c r="AS3542" i="28"/>
  <c r="AT3542" i="28"/>
  <c r="AU3542" i="28"/>
  <c r="AV3542" i="28"/>
  <c r="AW3542" i="28"/>
  <c r="AX3542" i="28"/>
  <c r="AY3542" i="28"/>
  <c r="AZ3542" i="28"/>
  <c r="BA3542" i="28"/>
  <c r="BB3542" i="28"/>
  <c r="BC3542" i="28"/>
  <c r="BD3542" i="28"/>
  <c r="BE3542" i="28"/>
  <c r="BF3542" i="28"/>
  <c r="BG3542" i="28"/>
  <c r="BH3542" i="28"/>
  <c r="BI3542" i="28"/>
  <c r="BJ3542" i="28"/>
  <c r="BK3542" i="28"/>
  <c r="BL3542" i="28"/>
  <c r="BM3542" i="28"/>
  <c r="BN3542" i="28"/>
  <c r="BO3542" i="28"/>
  <c r="BP3542" i="28"/>
  <c r="BQ3542" i="28"/>
  <c r="BR3542" i="28"/>
  <c r="BS3542" i="28"/>
  <c r="BT3542" i="28"/>
  <c r="BU3542" i="28"/>
  <c r="BV3542" i="28"/>
  <c r="BW3542" i="28"/>
  <c r="BX3542" i="28"/>
  <c r="BY3542" i="28"/>
  <c r="BZ3542" i="28"/>
  <c r="CA3542" i="28"/>
  <c r="CB3542" i="28"/>
  <c r="CC3542" i="28"/>
  <c r="CD3542" i="28"/>
  <c r="CE3542" i="28"/>
  <c r="CF3542" i="28"/>
  <c r="CG3542" i="28"/>
  <c r="CH3542" i="28"/>
  <c r="CI3542" i="28"/>
  <c r="CJ3542" i="28"/>
  <c r="CK3542" i="28"/>
  <c r="CL3542" i="28"/>
  <c r="CM3542" i="28"/>
  <c r="CN3542" i="28"/>
  <c r="CO3542" i="28"/>
  <c r="CP3542" i="28"/>
  <c r="CQ3542" i="28"/>
  <c r="CR3542" i="28"/>
  <c r="CS3542" i="28"/>
  <c r="CT3542" i="28"/>
  <c r="CU3542" i="28"/>
  <c r="CV3542" i="28"/>
  <c r="CW3542" i="28"/>
  <c r="CX3542" i="28"/>
  <c r="CY3542" i="28"/>
  <c r="CZ3542" i="28"/>
  <c r="DA3542" i="28"/>
  <c r="DB3542" i="28"/>
  <c r="DC3542" i="28"/>
  <c r="DD3542" i="28"/>
  <c r="DE3542" i="28"/>
  <c r="DF3542" i="28"/>
  <c r="DG3542" i="28"/>
  <c r="DH3542" i="28"/>
  <c r="DI3542" i="28"/>
  <c r="DJ3542" i="28"/>
  <c r="DK3542" i="28"/>
  <c r="DL3542" i="28"/>
  <c r="DM3542" i="28"/>
  <c r="DN3542" i="28"/>
  <c r="DO3542" i="28"/>
  <c r="DP3542" i="28"/>
  <c r="DQ3542" i="28"/>
  <c r="DR3542" i="28"/>
  <c r="DS3542" i="28"/>
  <c r="DT3542" i="28"/>
  <c r="DU3542" i="28"/>
  <c r="DV3542" i="28"/>
  <c r="DW3542" i="28"/>
  <c r="DX3542" i="28"/>
  <c r="DY3542" i="28"/>
  <c r="B3546" i="28"/>
  <c r="C3546" i="28"/>
  <c r="D3546" i="28"/>
  <c r="E3546" i="28"/>
  <c r="F3546" i="28"/>
  <c r="G3546" i="28"/>
  <c r="H3546" i="28"/>
  <c r="I3546" i="28"/>
  <c r="J3546" i="28"/>
  <c r="K3546" i="28"/>
  <c r="L3546" i="28"/>
  <c r="M3546" i="28"/>
  <c r="N3546" i="28"/>
  <c r="O3546" i="28"/>
  <c r="P3546" i="28"/>
  <c r="Q3546" i="28"/>
  <c r="R3546" i="28"/>
  <c r="S3546" i="28"/>
  <c r="T3546" i="28"/>
  <c r="U3546" i="28"/>
  <c r="V3546" i="28"/>
  <c r="W3546" i="28"/>
  <c r="X3546" i="28"/>
  <c r="Y3546" i="28"/>
  <c r="Z3546" i="28"/>
  <c r="AA3546" i="28"/>
  <c r="AB3546" i="28"/>
  <c r="AC3546" i="28"/>
  <c r="AD3546" i="28"/>
  <c r="AE3546" i="28"/>
  <c r="AF3546" i="28"/>
  <c r="AG3546" i="28"/>
  <c r="AH3546" i="28"/>
  <c r="AI3546" i="28"/>
  <c r="AJ3546" i="28"/>
  <c r="AK3546" i="28"/>
  <c r="AL3546" i="28"/>
  <c r="AM3546" i="28"/>
  <c r="AN3546" i="28"/>
  <c r="AO3546" i="28"/>
  <c r="AP3546" i="28"/>
  <c r="AQ3546" i="28"/>
  <c r="AR3546" i="28"/>
  <c r="AS3546" i="28"/>
  <c r="AT3546" i="28"/>
  <c r="AU3546" i="28"/>
  <c r="AV3546" i="28"/>
  <c r="AW3546" i="28"/>
  <c r="AX3546" i="28"/>
  <c r="AY3546" i="28"/>
  <c r="AZ3546" i="28"/>
  <c r="BA3546" i="28"/>
  <c r="BB3546" i="28"/>
  <c r="BC3546" i="28"/>
  <c r="BD3546" i="28"/>
  <c r="BE3546" i="28"/>
  <c r="BF3546" i="28"/>
  <c r="BG3546" i="28"/>
  <c r="BH3546" i="28"/>
  <c r="BI3546" i="28"/>
  <c r="BJ3546" i="28"/>
  <c r="BK3546" i="28"/>
  <c r="BL3546" i="28"/>
  <c r="BM3546" i="28"/>
  <c r="BN3546" i="28"/>
  <c r="BO3546" i="28"/>
  <c r="BP3546" i="28"/>
  <c r="BQ3546" i="28"/>
  <c r="BR3546" i="28"/>
  <c r="BS3546" i="28"/>
  <c r="BT3546" i="28"/>
  <c r="BU3546" i="28"/>
  <c r="BV3546" i="28"/>
  <c r="BW3546" i="28"/>
  <c r="BX3546" i="28"/>
  <c r="BY3546" i="28"/>
  <c r="BZ3546" i="28"/>
  <c r="CA3546" i="28"/>
  <c r="CB3546" i="28"/>
  <c r="CC3546" i="28"/>
  <c r="CD3546" i="28"/>
  <c r="CE3546" i="28"/>
  <c r="CF3546" i="28"/>
  <c r="CG3546" i="28"/>
  <c r="CH3546" i="28"/>
  <c r="CI3546" i="28"/>
  <c r="CJ3546" i="28"/>
  <c r="CK3546" i="28"/>
  <c r="CL3546" i="28"/>
  <c r="CM3546" i="28"/>
  <c r="CN3546" i="28"/>
  <c r="CO3546" i="28"/>
  <c r="CP3546" i="28"/>
  <c r="CQ3546" i="28"/>
  <c r="CR3546" i="28"/>
  <c r="CS3546" i="28"/>
  <c r="CT3546" i="28"/>
  <c r="CU3546" i="28"/>
  <c r="CV3546" i="28"/>
  <c r="CW3546" i="28"/>
  <c r="CX3546" i="28"/>
  <c r="CY3546" i="28"/>
  <c r="CZ3546" i="28"/>
  <c r="DA3546" i="28"/>
  <c r="DB3546" i="28"/>
  <c r="DC3546" i="28"/>
  <c r="DD3546" i="28"/>
  <c r="DE3546" i="28"/>
  <c r="DF3546" i="28"/>
  <c r="DG3546" i="28"/>
  <c r="DH3546" i="28"/>
  <c r="DI3546" i="28"/>
  <c r="DJ3546" i="28"/>
  <c r="DK3546" i="28"/>
  <c r="DL3546" i="28"/>
  <c r="DM3546" i="28"/>
  <c r="DN3546" i="28"/>
  <c r="DO3546" i="28"/>
  <c r="DP3546" i="28"/>
  <c r="DQ3546" i="28"/>
  <c r="DR3546" i="28"/>
  <c r="DS3546" i="28"/>
  <c r="DT3546" i="28"/>
  <c r="DU3546" i="28"/>
  <c r="DV3546" i="28"/>
  <c r="DW3546" i="28"/>
  <c r="DX3546" i="28"/>
  <c r="DY3546" i="28"/>
  <c r="B3551" i="28"/>
  <c r="C3551" i="28"/>
  <c r="D3551" i="28"/>
  <c r="E3551" i="28"/>
  <c r="F3551" i="28"/>
  <c r="G3551" i="28"/>
  <c r="H3551" i="28"/>
  <c r="I3551" i="28"/>
  <c r="J3551" i="28"/>
  <c r="K3551" i="28"/>
  <c r="L3551" i="28"/>
  <c r="M3551" i="28"/>
  <c r="N3551" i="28"/>
  <c r="O3551" i="28"/>
  <c r="P3551" i="28"/>
  <c r="Q3551" i="28"/>
  <c r="R3551" i="28"/>
  <c r="S3551" i="28"/>
  <c r="T3551" i="28"/>
  <c r="U3551" i="28"/>
  <c r="V3551" i="28"/>
  <c r="W3551" i="28"/>
  <c r="X3551" i="28"/>
  <c r="Y3551" i="28"/>
  <c r="Z3551" i="28"/>
  <c r="AA3551" i="28"/>
  <c r="AB3551" i="28"/>
  <c r="AC3551" i="28"/>
  <c r="AD3551" i="28"/>
  <c r="AE3551" i="28"/>
  <c r="AF3551" i="28"/>
  <c r="AG3551" i="28"/>
  <c r="AH3551" i="28"/>
  <c r="AI3551" i="28"/>
  <c r="AJ3551" i="28"/>
  <c r="AK3551" i="28"/>
  <c r="AL3551" i="28"/>
  <c r="AM3551" i="28"/>
  <c r="AN3551" i="28"/>
  <c r="AO3551" i="28"/>
  <c r="AP3551" i="28"/>
  <c r="AQ3551" i="28"/>
  <c r="AR3551" i="28"/>
  <c r="AS3551" i="28"/>
  <c r="AT3551" i="28"/>
  <c r="AU3551" i="28"/>
  <c r="AV3551" i="28"/>
  <c r="AW3551" i="28"/>
  <c r="AX3551" i="28"/>
  <c r="AY3551" i="28"/>
  <c r="AZ3551" i="28"/>
  <c r="BA3551" i="28"/>
  <c r="BB3551" i="28"/>
  <c r="BC3551" i="28"/>
  <c r="BD3551" i="28"/>
  <c r="BE3551" i="28"/>
  <c r="BF3551" i="28"/>
  <c r="BG3551" i="28"/>
  <c r="BH3551" i="28"/>
  <c r="BI3551" i="28"/>
  <c r="BJ3551" i="28"/>
  <c r="BK3551" i="28"/>
  <c r="BL3551" i="28"/>
  <c r="BM3551" i="28"/>
  <c r="BN3551" i="28"/>
  <c r="BO3551" i="28"/>
  <c r="BP3551" i="28"/>
  <c r="BQ3551" i="28"/>
  <c r="BR3551" i="28"/>
  <c r="BS3551" i="28"/>
  <c r="BT3551" i="28"/>
  <c r="BU3551" i="28"/>
  <c r="BV3551" i="28"/>
  <c r="BW3551" i="28"/>
  <c r="BX3551" i="28"/>
  <c r="BY3551" i="28"/>
  <c r="BZ3551" i="28"/>
  <c r="CA3551" i="28"/>
  <c r="CB3551" i="28"/>
  <c r="CC3551" i="28"/>
  <c r="CD3551" i="28"/>
  <c r="CE3551" i="28"/>
  <c r="CF3551" i="28"/>
  <c r="CG3551" i="28"/>
  <c r="CH3551" i="28"/>
  <c r="CI3551" i="28"/>
  <c r="CJ3551" i="28"/>
  <c r="CK3551" i="28"/>
  <c r="CL3551" i="28"/>
  <c r="CM3551" i="28"/>
  <c r="CN3551" i="28"/>
  <c r="CO3551" i="28"/>
  <c r="CP3551" i="28"/>
  <c r="CQ3551" i="28"/>
  <c r="CR3551" i="28"/>
  <c r="CS3551" i="28"/>
  <c r="CT3551" i="28"/>
  <c r="CU3551" i="28"/>
  <c r="CV3551" i="28"/>
  <c r="CW3551" i="28"/>
  <c r="CX3551" i="28"/>
  <c r="CY3551" i="28"/>
  <c r="CZ3551" i="28"/>
  <c r="DA3551" i="28"/>
  <c r="DB3551" i="28"/>
  <c r="DC3551" i="28"/>
  <c r="DD3551" i="28"/>
  <c r="DE3551" i="28"/>
  <c r="DF3551" i="28"/>
  <c r="DG3551" i="28"/>
  <c r="DH3551" i="28"/>
  <c r="DI3551" i="28"/>
  <c r="DJ3551" i="28"/>
  <c r="DK3551" i="28"/>
  <c r="DL3551" i="28"/>
  <c r="DM3551" i="28"/>
  <c r="DN3551" i="28"/>
  <c r="DO3551" i="28"/>
  <c r="DP3551" i="28"/>
  <c r="DQ3551" i="28"/>
  <c r="DR3551" i="28"/>
  <c r="DS3551" i="28"/>
  <c r="DT3551" i="28"/>
  <c r="DU3551" i="28"/>
  <c r="DV3551" i="28"/>
  <c r="DW3551" i="28"/>
  <c r="DX3551" i="28"/>
  <c r="DY3551" i="28"/>
  <c r="B3552" i="28"/>
  <c r="C3552" i="28"/>
  <c r="D3552" i="28"/>
  <c r="E3552" i="28"/>
  <c r="F3552" i="28"/>
  <c r="G3552" i="28"/>
  <c r="H3552" i="28"/>
  <c r="I3552" i="28"/>
  <c r="J3552" i="28"/>
  <c r="K3552" i="28"/>
  <c r="L3552" i="28"/>
  <c r="M3552" i="28"/>
  <c r="N3552" i="28"/>
  <c r="O3552" i="28"/>
  <c r="P3552" i="28"/>
  <c r="Q3552" i="28"/>
  <c r="R3552" i="28"/>
  <c r="S3552" i="28"/>
  <c r="T3552" i="28"/>
  <c r="U3552" i="28"/>
  <c r="V3552" i="28"/>
  <c r="W3552" i="28"/>
  <c r="X3552" i="28"/>
  <c r="Y3552" i="28"/>
  <c r="Z3552" i="28"/>
  <c r="AA3552" i="28"/>
  <c r="AB3552" i="28"/>
  <c r="AC3552" i="28"/>
  <c r="AD3552" i="28"/>
  <c r="AE3552" i="28"/>
  <c r="AF3552" i="28"/>
  <c r="AG3552" i="28"/>
  <c r="AH3552" i="28"/>
  <c r="AI3552" i="28"/>
  <c r="AJ3552" i="28"/>
  <c r="AK3552" i="28"/>
  <c r="AL3552" i="28"/>
  <c r="AM3552" i="28"/>
  <c r="AN3552" i="28"/>
  <c r="AO3552" i="28"/>
  <c r="AP3552" i="28"/>
  <c r="AQ3552" i="28"/>
  <c r="AR3552" i="28"/>
  <c r="AS3552" i="28"/>
  <c r="AT3552" i="28"/>
  <c r="AU3552" i="28"/>
  <c r="AV3552" i="28"/>
  <c r="AW3552" i="28"/>
  <c r="AX3552" i="28"/>
  <c r="AY3552" i="28"/>
  <c r="AZ3552" i="28"/>
  <c r="BA3552" i="28"/>
  <c r="BB3552" i="28"/>
  <c r="BC3552" i="28"/>
  <c r="BD3552" i="28"/>
  <c r="BE3552" i="28"/>
  <c r="BF3552" i="28"/>
  <c r="BG3552" i="28"/>
  <c r="BH3552" i="28"/>
  <c r="BI3552" i="28"/>
  <c r="BJ3552" i="28"/>
  <c r="BK3552" i="28"/>
  <c r="BL3552" i="28"/>
  <c r="BM3552" i="28"/>
  <c r="BN3552" i="28"/>
  <c r="BO3552" i="28"/>
  <c r="BP3552" i="28"/>
  <c r="BQ3552" i="28"/>
  <c r="BR3552" i="28"/>
  <c r="BS3552" i="28"/>
  <c r="BT3552" i="28"/>
  <c r="BU3552" i="28"/>
  <c r="BV3552" i="28"/>
  <c r="BW3552" i="28"/>
  <c r="BX3552" i="28"/>
  <c r="BY3552" i="28"/>
  <c r="BZ3552" i="28"/>
  <c r="CA3552" i="28"/>
  <c r="CB3552" i="28"/>
  <c r="CC3552" i="28"/>
  <c r="CD3552" i="28"/>
  <c r="CE3552" i="28"/>
  <c r="CF3552" i="28"/>
  <c r="CG3552" i="28"/>
  <c r="CH3552" i="28"/>
  <c r="CI3552" i="28"/>
  <c r="CJ3552" i="28"/>
  <c r="CK3552" i="28"/>
  <c r="CL3552" i="28"/>
  <c r="CM3552" i="28"/>
  <c r="CN3552" i="28"/>
  <c r="CO3552" i="28"/>
  <c r="CP3552" i="28"/>
  <c r="CQ3552" i="28"/>
  <c r="CR3552" i="28"/>
  <c r="CS3552" i="28"/>
  <c r="CT3552" i="28"/>
  <c r="CU3552" i="28"/>
  <c r="CV3552" i="28"/>
  <c r="CW3552" i="28"/>
  <c r="CX3552" i="28"/>
  <c r="CY3552" i="28"/>
  <c r="CZ3552" i="28"/>
  <c r="DA3552" i="28"/>
  <c r="DB3552" i="28"/>
  <c r="DC3552" i="28"/>
  <c r="DD3552" i="28"/>
  <c r="DE3552" i="28"/>
  <c r="DF3552" i="28"/>
  <c r="DG3552" i="28"/>
  <c r="DH3552" i="28"/>
  <c r="DI3552" i="28"/>
  <c r="DJ3552" i="28"/>
  <c r="DK3552" i="28"/>
  <c r="DL3552" i="28"/>
  <c r="DM3552" i="28"/>
  <c r="DN3552" i="28"/>
  <c r="DO3552" i="28"/>
  <c r="DP3552" i="28"/>
  <c r="DQ3552" i="28"/>
  <c r="DR3552" i="28"/>
  <c r="DS3552" i="28"/>
  <c r="DT3552" i="28"/>
  <c r="DU3552" i="28"/>
  <c r="DV3552" i="28"/>
  <c r="DW3552" i="28"/>
  <c r="DX3552" i="28"/>
  <c r="DY3552" i="28"/>
  <c r="B3554" i="28"/>
  <c r="C3554" i="28"/>
  <c r="D3554" i="28"/>
  <c r="E3554" i="28"/>
  <c r="F3554" i="28"/>
  <c r="G3554" i="28"/>
  <c r="H3554" i="28"/>
  <c r="I3554" i="28"/>
  <c r="J3554" i="28"/>
  <c r="K3554" i="28"/>
  <c r="L3554" i="28"/>
  <c r="M3554" i="28"/>
  <c r="N3554" i="28"/>
  <c r="O3554" i="28"/>
  <c r="P3554" i="28"/>
  <c r="Q3554" i="28"/>
  <c r="R3554" i="28"/>
  <c r="S3554" i="28"/>
  <c r="T3554" i="28"/>
  <c r="U3554" i="28"/>
  <c r="V3554" i="28"/>
  <c r="W3554" i="28"/>
  <c r="X3554" i="28"/>
  <c r="Y3554" i="28"/>
  <c r="Z3554" i="28"/>
  <c r="AA3554" i="28"/>
  <c r="AB3554" i="28"/>
  <c r="AC3554" i="28"/>
  <c r="AD3554" i="28"/>
  <c r="AE3554" i="28"/>
  <c r="AF3554" i="28"/>
  <c r="AG3554" i="28"/>
  <c r="AH3554" i="28"/>
  <c r="AI3554" i="28"/>
  <c r="AJ3554" i="28"/>
  <c r="AK3554" i="28"/>
  <c r="AL3554" i="28"/>
  <c r="AM3554" i="28"/>
  <c r="AN3554" i="28"/>
  <c r="AO3554" i="28"/>
  <c r="AP3554" i="28"/>
  <c r="AQ3554" i="28"/>
  <c r="AR3554" i="28"/>
  <c r="AS3554" i="28"/>
  <c r="AT3554" i="28"/>
  <c r="AU3554" i="28"/>
  <c r="AV3554" i="28"/>
  <c r="AW3554" i="28"/>
  <c r="AX3554" i="28"/>
  <c r="AY3554" i="28"/>
  <c r="AZ3554" i="28"/>
  <c r="BA3554" i="28"/>
  <c r="BB3554" i="28"/>
  <c r="BC3554" i="28"/>
  <c r="BD3554" i="28"/>
  <c r="BE3554" i="28"/>
  <c r="BF3554" i="28"/>
  <c r="BG3554" i="28"/>
  <c r="BH3554" i="28"/>
  <c r="BI3554" i="28"/>
  <c r="BJ3554" i="28"/>
  <c r="BK3554" i="28"/>
  <c r="BL3554" i="28"/>
  <c r="BM3554" i="28"/>
  <c r="BN3554" i="28"/>
  <c r="BO3554" i="28"/>
  <c r="BP3554" i="28"/>
  <c r="BQ3554" i="28"/>
  <c r="BR3554" i="28"/>
  <c r="BS3554" i="28"/>
  <c r="BT3554" i="28"/>
  <c r="BU3554" i="28"/>
  <c r="BV3554" i="28"/>
  <c r="BW3554" i="28"/>
  <c r="BX3554" i="28"/>
  <c r="BY3554" i="28"/>
  <c r="BZ3554" i="28"/>
  <c r="CA3554" i="28"/>
  <c r="CB3554" i="28"/>
  <c r="CC3554" i="28"/>
  <c r="CD3554" i="28"/>
  <c r="CE3554" i="28"/>
  <c r="CF3554" i="28"/>
  <c r="CG3554" i="28"/>
  <c r="CH3554" i="28"/>
  <c r="CI3554" i="28"/>
  <c r="CJ3554" i="28"/>
  <c r="CK3554" i="28"/>
  <c r="CL3554" i="28"/>
  <c r="CM3554" i="28"/>
  <c r="CN3554" i="28"/>
  <c r="CO3554" i="28"/>
  <c r="CP3554" i="28"/>
  <c r="CQ3554" i="28"/>
  <c r="CR3554" i="28"/>
  <c r="CS3554" i="28"/>
  <c r="CT3554" i="28"/>
  <c r="CU3554" i="28"/>
  <c r="CV3554" i="28"/>
  <c r="CW3554" i="28"/>
  <c r="CX3554" i="28"/>
  <c r="CY3554" i="28"/>
  <c r="CZ3554" i="28"/>
  <c r="DA3554" i="28"/>
  <c r="DB3554" i="28"/>
  <c r="DC3554" i="28"/>
  <c r="DD3554" i="28"/>
  <c r="DE3554" i="28"/>
  <c r="DF3554" i="28"/>
  <c r="DG3554" i="28"/>
  <c r="DH3554" i="28"/>
  <c r="DI3554" i="28"/>
  <c r="DJ3554" i="28"/>
  <c r="DK3554" i="28"/>
  <c r="DL3554" i="28"/>
  <c r="DM3554" i="28"/>
  <c r="DN3554" i="28"/>
  <c r="DO3554" i="28"/>
  <c r="DP3554" i="28"/>
  <c r="DQ3554" i="28"/>
  <c r="DR3554" i="28"/>
  <c r="DS3554" i="28"/>
  <c r="DT3554" i="28"/>
  <c r="DU3554" i="28"/>
  <c r="DV3554" i="28"/>
  <c r="DW3554" i="28"/>
  <c r="DX3554" i="28"/>
  <c r="DY3554" i="28"/>
  <c r="B3556" i="28"/>
  <c r="C3556" i="28"/>
  <c r="D3556" i="28"/>
  <c r="E3556" i="28"/>
  <c r="F3556" i="28"/>
  <c r="G3556" i="28"/>
  <c r="H3556" i="28"/>
  <c r="I3556" i="28"/>
  <c r="J3556" i="28"/>
  <c r="K3556" i="28"/>
  <c r="L3556" i="28"/>
  <c r="M3556" i="28"/>
  <c r="N3556" i="28"/>
  <c r="O3556" i="28"/>
  <c r="P3556" i="28"/>
  <c r="Q3556" i="28"/>
  <c r="R3556" i="28"/>
  <c r="S3556" i="28"/>
  <c r="T3556" i="28"/>
  <c r="U3556" i="28"/>
  <c r="V3556" i="28"/>
  <c r="W3556" i="28"/>
  <c r="X3556" i="28"/>
  <c r="Y3556" i="28"/>
  <c r="Z3556" i="28"/>
  <c r="AA3556" i="28"/>
  <c r="AB3556" i="28"/>
  <c r="AC3556" i="28"/>
  <c r="AD3556" i="28"/>
  <c r="AE3556" i="28"/>
  <c r="AF3556" i="28"/>
  <c r="AG3556" i="28"/>
  <c r="AH3556" i="28"/>
  <c r="AI3556" i="28"/>
  <c r="AJ3556" i="28"/>
  <c r="AK3556" i="28"/>
  <c r="AL3556" i="28"/>
  <c r="AM3556" i="28"/>
  <c r="AN3556" i="28"/>
  <c r="AO3556" i="28"/>
  <c r="AP3556" i="28"/>
  <c r="AQ3556" i="28"/>
  <c r="AR3556" i="28"/>
  <c r="AS3556" i="28"/>
  <c r="AT3556" i="28"/>
  <c r="AU3556" i="28"/>
  <c r="AV3556" i="28"/>
  <c r="AW3556" i="28"/>
  <c r="AX3556" i="28"/>
  <c r="AY3556" i="28"/>
  <c r="AZ3556" i="28"/>
  <c r="BA3556" i="28"/>
  <c r="BB3556" i="28"/>
  <c r="BC3556" i="28"/>
  <c r="BD3556" i="28"/>
  <c r="BE3556" i="28"/>
  <c r="BF3556" i="28"/>
  <c r="BG3556" i="28"/>
  <c r="BH3556" i="28"/>
  <c r="BI3556" i="28"/>
  <c r="BJ3556" i="28"/>
  <c r="BK3556" i="28"/>
  <c r="BL3556" i="28"/>
  <c r="BM3556" i="28"/>
  <c r="BN3556" i="28"/>
  <c r="BO3556" i="28"/>
  <c r="BP3556" i="28"/>
  <c r="BQ3556" i="28"/>
  <c r="BR3556" i="28"/>
  <c r="BS3556" i="28"/>
  <c r="BT3556" i="28"/>
  <c r="BU3556" i="28"/>
  <c r="BV3556" i="28"/>
  <c r="BW3556" i="28"/>
  <c r="BX3556" i="28"/>
  <c r="BY3556" i="28"/>
  <c r="BZ3556" i="28"/>
  <c r="CA3556" i="28"/>
  <c r="CB3556" i="28"/>
  <c r="CC3556" i="28"/>
  <c r="CD3556" i="28"/>
  <c r="CE3556" i="28"/>
  <c r="CF3556" i="28"/>
  <c r="CG3556" i="28"/>
  <c r="CH3556" i="28"/>
  <c r="CI3556" i="28"/>
  <c r="CJ3556" i="28"/>
  <c r="CK3556" i="28"/>
  <c r="CL3556" i="28"/>
  <c r="CM3556" i="28"/>
  <c r="CN3556" i="28"/>
  <c r="CO3556" i="28"/>
  <c r="CP3556" i="28"/>
  <c r="CQ3556" i="28"/>
  <c r="CR3556" i="28"/>
  <c r="CS3556" i="28"/>
  <c r="CT3556" i="28"/>
  <c r="CU3556" i="28"/>
  <c r="CV3556" i="28"/>
  <c r="CW3556" i="28"/>
  <c r="CX3556" i="28"/>
  <c r="CY3556" i="28"/>
  <c r="CZ3556" i="28"/>
  <c r="DA3556" i="28"/>
  <c r="DB3556" i="28"/>
  <c r="DC3556" i="28"/>
  <c r="DD3556" i="28"/>
  <c r="DE3556" i="28"/>
  <c r="DF3556" i="28"/>
  <c r="DG3556" i="28"/>
  <c r="DH3556" i="28"/>
  <c r="DI3556" i="28"/>
  <c r="DJ3556" i="28"/>
  <c r="DK3556" i="28"/>
  <c r="DL3556" i="28"/>
  <c r="DM3556" i="28"/>
  <c r="DN3556" i="28"/>
  <c r="DO3556" i="28"/>
  <c r="DP3556" i="28"/>
  <c r="DQ3556" i="28"/>
  <c r="DR3556" i="28"/>
  <c r="DS3556" i="28"/>
  <c r="DT3556" i="28"/>
  <c r="DU3556" i="28"/>
  <c r="DV3556" i="28"/>
  <c r="DW3556" i="28"/>
  <c r="DX3556" i="28"/>
  <c r="DY3556" i="28"/>
  <c r="B3557" i="28"/>
  <c r="C3557" i="28"/>
  <c r="D3557" i="28"/>
  <c r="E3557" i="28"/>
  <c r="F3557" i="28"/>
  <c r="G3557" i="28"/>
  <c r="H3557" i="28"/>
  <c r="I3557" i="28"/>
  <c r="J3557" i="28"/>
  <c r="K3557" i="28"/>
  <c r="L3557" i="28"/>
  <c r="M3557" i="28"/>
  <c r="N3557" i="28"/>
  <c r="O3557" i="28"/>
  <c r="P3557" i="28"/>
  <c r="Q3557" i="28"/>
  <c r="R3557" i="28"/>
  <c r="S3557" i="28"/>
  <c r="T3557" i="28"/>
  <c r="U3557" i="28"/>
  <c r="V3557" i="28"/>
  <c r="W3557" i="28"/>
  <c r="X3557" i="28"/>
  <c r="Y3557" i="28"/>
  <c r="Z3557" i="28"/>
  <c r="AA3557" i="28"/>
  <c r="AB3557" i="28"/>
  <c r="AC3557" i="28"/>
  <c r="AD3557" i="28"/>
  <c r="AE3557" i="28"/>
  <c r="AF3557" i="28"/>
  <c r="AG3557" i="28"/>
  <c r="AH3557" i="28"/>
  <c r="AI3557" i="28"/>
  <c r="AJ3557" i="28"/>
  <c r="AK3557" i="28"/>
  <c r="AL3557" i="28"/>
  <c r="AM3557" i="28"/>
  <c r="AN3557" i="28"/>
  <c r="AO3557" i="28"/>
  <c r="AP3557" i="28"/>
  <c r="AQ3557" i="28"/>
  <c r="AR3557" i="28"/>
  <c r="AS3557" i="28"/>
  <c r="AT3557" i="28"/>
  <c r="AU3557" i="28"/>
  <c r="AV3557" i="28"/>
  <c r="AW3557" i="28"/>
  <c r="AX3557" i="28"/>
  <c r="AY3557" i="28"/>
  <c r="AZ3557" i="28"/>
  <c r="BA3557" i="28"/>
  <c r="BB3557" i="28"/>
  <c r="BC3557" i="28"/>
  <c r="BD3557" i="28"/>
  <c r="BE3557" i="28"/>
  <c r="BF3557" i="28"/>
  <c r="BG3557" i="28"/>
  <c r="BH3557" i="28"/>
  <c r="BI3557" i="28"/>
  <c r="BJ3557" i="28"/>
  <c r="BK3557" i="28"/>
  <c r="BL3557" i="28"/>
  <c r="BM3557" i="28"/>
  <c r="BN3557" i="28"/>
  <c r="BO3557" i="28"/>
  <c r="BP3557" i="28"/>
  <c r="BQ3557" i="28"/>
  <c r="BR3557" i="28"/>
  <c r="BS3557" i="28"/>
  <c r="BT3557" i="28"/>
  <c r="BU3557" i="28"/>
  <c r="BV3557" i="28"/>
  <c r="BW3557" i="28"/>
  <c r="BX3557" i="28"/>
  <c r="BY3557" i="28"/>
  <c r="BZ3557" i="28"/>
  <c r="CA3557" i="28"/>
  <c r="CB3557" i="28"/>
  <c r="CC3557" i="28"/>
  <c r="CD3557" i="28"/>
  <c r="CE3557" i="28"/>
  <c r="CF3557" i="28"/>
  <c r="CG3557" i="28"/>
  <c r="CH3557" i="28"/>
  <c r="CI3557" i="28"/>
  <c r="CJ3557" i="28"/>
  <c r="CK3557" i="28"/>
  <c r="CL3557" i="28"/>
  <c r="CM3557" i="28"/>
  <c r="CN3557" i="28"/>
  <c r="CO3557" i="28"/>
  <c r="CP3557" i="28"/>
  <c r="CQ3557" i="28"/>
  <c r="CR3557" i="28"/>
  <c r="CS3557" i="28"/>
  <c r="CT3557" i="28"/>
  <c r="CU3557" i="28"/>
  <c r="CV3557" i="28"/>
  <c r="CW3557" i="28"/>
  <c r="CX3557" i="28"/>
  <c r="CY3557" i="28"/>
  <c r="CZ3557" i="28"/>
  <c r="DA3557" i="28"/>
  <c r="DB3557" i="28"/>
  <c r="DC3557" i="28"/>
  <c r="DD3557" i="28"/>
  <c r="DE3557" i="28"/>
  <c r="DF3557" i="28"/>
  <c r="DG3557" i="28"/>
  <c r="DH3557" i="28"/>
  <c r="DI3557" i="28"/>
  <c r="DJ3557" i="28"/>
  <c r="DK3557" i="28"/>
  <c r="DL3557" i="28"/>
  <c r="DM3557" i="28"/>
  <c r="DN3557" i="28"/>
  <c r="DO3557" i="28"/>
  <c r="DP3557" i="28"/>
  <c r="DQ3557" i="28"/>
  <c r="DR3557" i="28"/>
  <c r="DS3557" i="28"/>
  <c r="DT3557" i="28"/>
  <c r="DU3557" i="28"/>
  <c r="DV3557" i="28"/>
  <c r="DW3557" i="28"/>
  <c r="DX3557" i="28"/>
  <c r="DY3557" i="28"/>
  <c r="B3561" i="28"/>
  <c r="C3561" i="28"/>
  <c r="D3561" i="28"/>
  <c r="E3561" i="28"/>
  <c r="F3561" i="28"/>
  <c r="G3561" i="28"/>
  <c r="H3561" i="28"/>
  <c r="I3561" i="28"/>
  <c r="J3561" i="28"/>
  <c r="K3561" i="28"/>
  <c r="L3561" i="28"/>
  <c r="M3561" i="28"/>
  <c r="N3561" i="28"/>
  <c r="O3561" i="28"/>
  <c r="P3561" i="28"/>
  <c r="Q3561" i="28"/>
  <c r="B3562" i="28"/>
  <c r="C3562" i="28"/>
  <c r="D3562" i="28"/>
  <c r="E3562" i="28"/>
  <c r="F3562" i="28"/>
  <c r="G3562" i="28"/>
  <c r="H3562" i="28"/>
  <c r="I3562" i="28"/>
  <c r="J3562" i="28"/>
  <c r="K3562" i="28"/>
  <c r="L3562" i="28"/>
  <c r="M3562" i="28"/>
  <c r="N3562" i="28"/>
  <c r="O3562" i="28"/>
  <c r="P3562" i="28"/>
  <c r="Q3562" i="28"/>
  <c r="B3569" i="28"/>
  <c r="C3569" i="28"/>
  <c r="D3569" i="28"/>
  <c r="E3569" i="28"/>
  <c r="F3569" i="28"/>
  <c r="G3569" i="28"/>
  <c r="H3569" i="28"/>
  <c r="I3569" i="28"/>
  <c r="J3569" i="28"/>
  <c r="K3569" i="28"/>
  <c r="L3569" i="28"/>
  <c r="M3569" i="28"/>
  <c r="N3569" i="28"/>
  <c r="O3569" i="28"/>
  <c r="P3569" i="28"/>
  <c r="Q3569" i="28"/>
  <c r="B3570" i="28"/>
  <c r="C3570" i="28"/>
  <c r="D3570" i="28"/>
  <c r="E3570" i="28"/>
  <c r="F3570" i="28"/>
  <c r="G3570" i="28"/>
  <c r="H3570" i="28"/>
  <c r="I3570" i="28"/>
  <c r="J3570" i="28"/>
  <c r="K3570" i="28"/>
  <c r="L3570" i="28"/>
  <c r="M3570" i="28"/>
  <c r="N3570" i="28"/>
  <c r="O3570" i="28"/>
  <c r="P3570" i="28"/>
  <c r="Q3570" i="28"/>
  <c r="B3573" i="28"/>
  <c r="C3573" i="28"/>
  <c r="D3573" i="28"/>
  <c r="E3573" i="28"/>
  <c r="F3573" i="28"/>
  <c r="G3573" i="28"/>
  <c r="H3573" i="28"/>
  <c r="I3573" i="28"/>
  <c r="J3573" i="28"/>
  <c r="K3573" i="28"/>
  <c r="L3573" i="28"/>
  <c r="M3573" i="28"/>
  <c r="N3573" i="28"/>
  <c r="O3573" i="28"/>
  <c r="P3573" i="28"/>
  <c r="Q3573" i="28"/>
  <c r="B3576" i="28"/>
  <c r="C3576" i="28"/>
  <c r="D3576" i="28"/>
  <c r="E3576" i="28"/>
  <c r="F3576" i="28"/>
  <c r="G3576" i="28"/>
  <c r="H3576" i="28"/>
  <c r="I3576" i="28"/>
  <c r="J3576" i="28"/>
  <c r="K3576" i="28"/>
  <c r="L3576" i="28"/>
  <c r="M3576" i="28"/>
  <c r="N3576" i="28"/>
  <c r="O3576" i="28"/>
  <c r="P3576" i="28"/>
  <c r="Q3576" i="28"/>
  <c r="B3577" i="28"/>
  <c r="C3577" i="28"/>
  <c r="D3577" i="28"/>
  <c r="E3577" i="28"/>
  <c r="F3577" i="28"/>
  <c r="G3577" i="28"/>
  <c r="H3577" i="28"/>
  <c r="I3577" i="28"/>
  <c r="J3577" i="28"/>
  <c r="K3577" i="28"/>
  <c r="L3577" i="28"/>
  <c r="M3577" i="28"/>
  <c r="N3577" i="28"/>
  <c r="O3577" i="28"/>
  <c r="P3577" i="28"/>
  <c r="Q3577" i="28"/>
  <c r="B3579" i="28"/>
  <c r="C3579" i="28"/>
  <c r="D3579" i="28"/>
  <c r="E3579" i="28"/>
  <c r="F3579" i="28"/>
  <c r="G3579" i="28"/>
  <c r="H3579" i="28"/>
  <c r="I3579" i="28"/>
  <c r="J3579" i="28"/>
  <c r="K3579" i="28"/>
  <c r="L3579" i="28"/>
  <c r="M3579" i="28"/>
  <c r="N3579" i="28"/>
  <c r="O3579" i="28"/>
  <c r="P3579" i="28"/>
  <c r="Q3579" i="28"/>
  <c r="B3580" i="28"/>
  <c r="C3580" i="28"/>
  <c r="D3580" i="28"/>
  <c r="E3580" i="28"/>
  <c r="F3580" i="28"/>
  <c r="G3580" i="28"/>
  <c r="H3580" i="28"/>
  <c r="I3580" i="28"/>
  <c r="J3580" i="28"/>
  <c r="K3580" i="28"/>
  <c r="L3580" i="28"/>
  <c r="M3580" i="28"/>
  <c r="N3580" i="28"/>
  <c r="O3580" i="28"/>
  <c r="P3580" i="28"/>
  <c r="Q3580" i="28"/>
  <c r="B3583" i="28"/>
  <c r="C3583" i="28"/>
  <c r="D3583" i="28"/>
  <c r="E3583" i="28"/>
  <c r="F3583" i="28"/>
  <c r="G3583" i="28"/>
  <c r="H3583" i="28"/>
  <c r="I3583" i="28"/>
  <c r="J3583" i="28"/>
  <c r="K3583" i="28"/>
  <c r="L3583" i="28"/>
  <c r="M3583" i="28"/>
  <c r="N3583" i="28"/>
  <c r="O3583" i="28"/>
  <c r="P3583" i="28"/>
  <c r="Q3583" i="28"/>
  <c r="B3584" i="28"/>
  <c r="C3584" i="28"/>
  <c r="D3584" i="28"/>
  <c r="E3584" i="28"/>
  <c r="F3584" i="28"/>
  <c r="G3584" i="28"/>
  <c r="H3584" i="28"/>
  <c r="I3584" i="28"/>
  <c r="J3584" i="28"/>
  <c r="K3584" i="28"/>
  <c r="L3584" i="28"/>
  <c r="M3584" i="28"/>
  <c r="N3584" i="28"/>
  <c r="O3584" i="28"/>
  <c r="P3584" i="28"/>
  <c r="Q3584" i="28"/>
  <c r="B3585" i="28"/>
  <c r="C3585" i="28"/>
  <c r="D3585" i="28"/>
  <c r="E3585" i="28"/>
  <c r="F3585" i="28"/>
  <c r="G3585" i="28"/>
  <c r="H3585" i="28"/>
  <c r="I3585" i="28"/>
  <c r="J3585" i="28"/>
  <c r="K3585" i="28"/>
  <c r="L3585" i="28"/>
  <c r="M3585" i="28"/>
  <c r="N3585" i="28"/>
  <c r="O3585" i="28"/>
  <c r="P3585" i="28"/>
  <c r="Q3585" i="28"/>
  <c r="B3589" i="28"/>
  <c r="C3589" i="28"/>
  <c r="D3589" i="28"/>
  <c r="E3589" i="28"/>
  <c r="F3589" i="28"/>
  <c r="G3589" i="28"/>
  <c r="H3589" i="28"/>
  <c r="I3589" i="28"/>
  <c r="J3589" i="28"/>
  <c r="K3589" i="28"/>
  <c r="L3589" i="28"/>
  <c r="M3589" i="28"/>
  <c r="N3589" i="28"/>
  <c r="O3589" i="28"/>
  <c r="P3589" i="28"/>
  <c r="Q3589" i="28"/>
  <c r="B3590" i="28"/>
  <c r="C3590" i="28"/>
  <c r="D3590" i="28"/>
  <c r="E3590" i="28"/>
  <c r="F3590" i="28"/>
  <c r="G3590" i="28"/>
  <c r="H3590" i="28"/>
  <c r="I3590" i="28"/>
  <c r="J3590" i="28"/>
  <c r="K3590" i="28"/>
  <c r="L3590" i="28"/>
  <c r="M3590" i="28"/>
  <c r="N3590" i="28"/>
  <c r="O3590" i="28"/>
  <c r="P3590" i="28"/>
  <c r="Q3590" i="28"/>
  <c r="B3597" i="28"/>
  <c r="C3597" i="28"/>
  <c r="D3597" i="28"/>
  <c r="E3597" i="28"/>
  <c r="F3597" i="28"/>
  <c r="G3597" i="28"/>
  <c r="H3597" i="28"/>
  <c r="I3597" i="28"/>
  <c r="J3597" i="28"/>
  <c r="K3597" i="28"/>
  <c r="L3597" i="28"/>
  <c r="M3597" i="28"/>
  <c r="N3597" i="28"/>
  <c r="O3597" i="28"/>
  <c r="P3597" i="28"/>
  <c r="Q3597" i="28"/>
  <c r="B3598" i="28"/>
  <c r="C3598" i="28"/>
  <c r="D3598" i="28"/>
  <c r="E3598" i="28"/>
  <c r="F3598" i="28"/>
  <c r="G3598" i="28"/>
  <c r="H3598" i="28"/>
  <c r="I3598" i="28"/>
  <c r="J3598" i="28"/>
  <c r="K3598" i="28"/>
  <c r="L3598" i="28"/>
  <c r="M3598" i="28"/>
  <c r="N3598" i="28"/>
  <c r="O3598" i="28"/>
  <c r="P3598" i="28"/>
  <c r="Q3598" i="28"/>
  <c r="B3601" i="28"/>
  <c r="C3601" i="28"/>
  <c r="D3601" i="28"/>
  <c r="E3601" i="28"/>
  <c r="F3601" i="28"/>
  <c r="G3601" i="28"/>
  <c r="H3601" i="28"/>
  <c r="I3601" i="28"/>
  <c r="J3601" i="28"/>
  <c r="K3601" i="28"/>
  <c r="L3601" i="28"/>
  <c r="M3601" i="28"/>
  <c r="N3601" i="28"/>
  <c r="O3601" i="28"/>
  <c r="P3601" i="28"/>
  <c r="Q3601" i="28"/>
  <c r="B3604" i="28"/>
  <c r="C3604" i="28"/>
  <c r="D3604" i="28"/>
  <c r="E3604" i="28"/>
  <c r="F3604" i="28"/>
  <c r="G3604" i="28"/>
  <c r="H3604" i="28"/>
  <c r="I3604" i="28"/>
  <c r="J3604" i="28"/>
  <c r="K3604" i="28"/>
  <c r="L3604" i="28"/>
  <c r="M3604" i="28"/>
  <c r="N3604" i="28"/>
  <c r="O3604" i="28"/>
  <c r="P3604" i="28"/>
  <c r="Q3604" i="28"/>
  <c r="B3605" i="28"/>
  <c r="C3605" i="28"/>
  <c r="D3605" i="28"/>
  <c r="E3605" i="28"/>
  <c r="F3605" i="28"/>
  <c r="G3605" i="28"/>
  <c r="H3605" i="28"/>
  <c r="I3605" i="28"/>
  <c r="J3605" i="28"/>
  <c r="K3605" i="28"/>
  <c r="L3605" i="28"/>
  <c r="M3605" i="28"/>
  <c r="N3605" i="28"/>
  <c r="O3605" i="28"/>
  <c r="P3605" i="28"/>
  <c r="Q3605" i="28"/>
  <c r="B3607" i="28"/>
  <c r="C3607" i="28"/>
  <c r="D3607" i="28"/>
  <c r="E3607" i="28"/>
  <c r="F3607" i="28"/>
  <c r="G3607" i="28"/>
  <c r="H3607" i="28"/>
  <c r="I3607" i="28"/>
  <c r="J3607" i="28"/>
  <c r="K3607" i="28"/>
  <c r="L3607" i="28"/>
  <c r="M3607" i="28"/>
  <c r="N3607" i="28"/>
  <c r="O3607" i="28"/>
  <c r="P3607" i="28"/>
  <c r="Q3607" i="28"/>
  <c r="B3608" i="28"/>
  <c r="C3608" i="28"/>
  <c r="D3608" i="28"/>
  <c r="E3608" i="28"/>
  <c r="F3608" i="28"/>
  <c r="G3608" i="28"/>
  <c r="H3608" i="28"/>
  <c r="I3608" i="28"/>
  <c r="J3608" i="28"/>
  <c r="K3608" i="28"/>
  <c r="L3608" i="28"/>
  <c r="M3608" i="28"/>
  <c r="N3608" i="28"/>
  <c r="O3608" i="28"/>
  <c r="P3608" i="28"/>
  <c r="Q3608" i="28"/>
  <c r="B3611" i="28"/>
  <c r="C3611" i="28"/>
  <c r="D3611" i="28"/>
  <c r="E3611" i="28"/>
  <c r="F3611" i="28"/>
  <c r="G3611" i="28"/>
  <c r="H3611" i="28"/>
  <c r="I3611" i="28"/>
  <c r="J3611" i="28"/>
  <c r="K3611" i="28"/>
  <c r="L3611" i="28"/>
  <c r="M3611" i="28"/>
  <c r="N3611" i="28"/>
  <c r="O3611" i="28"/>
  <c r="P3611" i="28"/>
  <c r="Q3611" i="28"/>
  <c r="B3612" i="28"/>
  <c r="C3612" i="28"/>
  <c r="D3612" i="28"/>
  <c r="E3612" i="28"/>
  <c r="F3612" i="28"/>
  <c r="G3612" i="28"/>
  <c r="H3612" i="28"/>
  <c r="I3612" i="28"/>
  <c r="J3612" i="28"/>
  <c r="K3612" i="28"/>
  <c r="L3612" i="28"/>
  <c r="M3612" i="28"/>
  <c r="N3612" i="28"/>
  <c r="O3612" i="28"/>
  <c r="P3612" i="28"/>
  <c r="Q3612" i="28"/>
  <c r="B3613" i="28"/>
  <c r="C3613" i="28"/>
  <c r="D3613" i="28"/>
  <c r="E3613" i="28"/>
  <c r="F3613" i="28"/>
  <c r="G3613" i="28"/>
  <c r="H3613" i="28"/>
  <c r="I3613" i="28"/>
  <c r="J3613" i="28"/>
  <c r="K3613" i="28"/>
  <c r="L3613" i="28"/>
  <c r="M3613" i="28"/>
  <c r="N3613" i="28"/>
  <c r="O3613" i="28"/>
  <c r="P3613" i="28"/>
  <c r="Q3613" i="28"/>
  <c r="B3617" i="28"/>
  <c r="C3617" i="28"/>
  <c r="D3617" i="28"/>
  <c r="E3617" i="28"/>
  <c r="F3617" i="28"/>
  <c r="G3617" i="28"/>
  <c r="H3617" i="28"/>
  <c r="I3617" i="28"/>
  <c r="J3617" i="28"/>
  <c r="K3617" i="28"/>
  <c r="L3617" i="28"/>
  <c r="M3617" i="28"/>
  <c r="N3617" i="28"/>
  <c r="O3617" i="28"/>
  <c r="P3617" i="28"/>
  <c r="Q3617" i="28"/>
  <c r="B3618" i="28"/>
  <c r="C3618" i="28"/>
  <c r="D3618" i="28"/>
  <c r="E3618" i="28"/>
  <c r="F3618" i="28"/>
  <c r="G3618" i="28"/>
  <c r="H3618" i="28"/>
  <c r="I3618" i="28"/>
  <c r="J3618" i="28"/>
  <c r="K3618" i="28"/>
  <c r="L3618" i="28"/>
  <c r="M3618" i="28"/>
  <c r="N3618" i="28"/>
  <c r="O3618" i="28"/>
  <c r="P3618" i="28"/>
  <c r="Q3618" i="28"/>
  <c r="B3625" i="28"/>
  <c r="C3625" i="28"/>
  <c r="D3625" i="28"/>
  <c r="E3625" i="28"/>
  <c r="F3625" i="28"/>
  <c r="G3625" i="28"/>
  <c r="H3625" i="28"/>
  <c r="I3625" i="28"/>
  <c r="J3625" i="28"/>
  <c r="K3625" i="28"/>
  <c r="L3625" i="28"/>
  <c r="M3625" i="28"/>
  <c r="N3625" i="28"/>
  <c r="O3625" i="28"/>
  <c r="P3625" i="28"/>
  <c r="Q3625" i="28"/>
  <c r="B3626" i="28"/>
  <c r="C3626" i="28"/>
  <c r="D3626" i="28"/>
  <c r="E3626" i="28"/>
  <c r="F3626" i="28"/>
  <c r="G3626" i="28"/>
  <c r="H3626" i="28"/>
  <c r="I3626" i="28"/>
  <c r="J3626" i="28"/>
  <c r="K3626" i="28"/>
  <c r="L3626" i="28"/>
  <c r="M3626" i="28"/>
  <c r="N3626" i="28"/>
  <c r="O3626" i="28"/>
  <c r="P3626" i="28"/>
  <c r="Q3626" i="28"/>
  <c r="B3629" i="28"/>
  <c r="C3629" i="28"/>
  <c r="D3629" i="28"/>
  <c r="E3629" i="28"/>
  <c r="F3629" i="28"/>
  <c r="G3629" i="28"/>
  <c r="H3629" i="28"/>
  <c r="I3629" i="28"/>
  <c r="J3629" i="28"/>
  <c r="K3629" i="28"/>
  <c r="L3629" i="28"/>
  <c r="M3629" i="28"/>
  <c r="N3629" i="28"/>
  <c r="O3629" i="28"/>
  <c r="P3629" i="28"/>
  <c r="Q3629" i="28"/>
  <c r="B3632" i="28"/>
  <c r="C3632" i="28"/>
  <c r="D3632" i="28"/>
  <c r="E3632" i="28"/>
  <c r="F3632" i="28"/>
  <c r="G3632" i="28"/>
  <c r="H3632" i="28"/>
  <c r="I3632" i="28"/>
  <c r="J3632" i="28"/>
  <c r="K3632" i="28"/>
  <c r="L3632" i="28"/>
  <c r="M3632" i="28"/>
  <c r="N3632" i="28"/>
  <c r="O3632" i="28"/>
  <c r="P3632" i="28"/>
  <c r="Q3632" i="28"/>
  <c r="B3633" i="28"/>
  <c r="C3633" i="28"/>
  <c r="D3633" i="28"/>
  <c r="E3633" i="28"/>
  <c r="F3633" i="28"/>
  <c r="G3633" i="28"/>
  <c r="H3633" i="28"/>
  <c r="I3633" i="28"/>
  <c r="J3633" i="28"/>
  <c r="K3633" i="28"/>
  <c r="L3633" i="28"/>
  <c r="M3633" i="28"/>
  <c r="N3633" i="28"/>
  <c r="O3633" i="28"/>
  <c r="P3633" i="28"/>
  <c r="Q3633" i="28"/>
  <c r="B3635" i="28"/>
  <c r="C3635" i="28"/>
  <c r="D3635" i="28"/>
  <c r="E3635" i="28"/>
  <c r="F3635" i="28"/>
  <c r="G3635" i="28"/>
  <c r="H3635" i="28"/>
  <c r="I3635" i="28"/>
  <c r="J3635" i="28"/>
  <c r="K3635" i="28"/>
  <c r="L3635" i="28"/>
  <c r="M3635" i="28"/>
  <c r="N3635" i="28"/>
  <c r="O3635" i="28"/>
  <c r="P3635" i="28"/>
  <c r="Q3635" i="28"/>
  <c r="B3636" i="28"/>
  <c r="C3636" i="28"/>
  <c r="D3636" i="28"/>
  <c r="E3636" i="28"/>
  <c r="F3636" i="28"/>
  <c r="G3636" i="28"/>
  <c r="H3636" i="28"/>
  <c r="I3636" i="28"/>
  <c r="J3636" i="28"/>
  <c r="K3636" i="28"/>
  <c r="L3636" i="28"/>
  <c r="M3636" i="28"/>
  <c r="N3636" i="28"/>
  <c r="O3636" i="28"/>
  <c r="P3636" i="28"/>
  <c r="Q3636" i="28"/>
  <c r="B3639" i="28"/>
  <c r="C3639" i="28"/>
  <c r="D3639" i="28"/>
  <c r="E3639" i="28"/>
  <c r="F3639" i="28"/>
  <c r="G3639" i="28"/>
  <c r="H3639" i="28"/>
  <c r="I3639" i="28"/>
  <c r="J3639" i="28"/>
  <c r="K3639" i="28"/>
  <c r="L3639" i="28"/>
  <c r="M3639" i="28"/>
  <c r="N3639" i="28"/>
  <c r="O3639" i="28"/>
  <c r="P3639" i="28"/>
  <c r="Q3639" i="28"/>
  <c r="B3640" i="28"/>
  <c r="C3640" i="28"/>
  <c r="D3640" i="28"/>
  <c r="E3640" i="28"/>
  <c r="F3640" i="28"/>
  <c r="G3640" i="28"/>
  <c r="H3640" i="28"/>
  <c r="I3640" i="28"/>
  <c r="J3640" i="28"/>
  <c r="K3640" i="28"/>
  <c r="L3640" i="28"/>
  <c r="M3640" i="28"/>
  <c r="N3640" i="28"/>
  <c r="O3640" i="28"/>
  <c r="P3640" i="28"/>
  <c r="Q3640" i="28"/>
  <c r="B3641" i="28"/>
  <c r="C3641" i="28"/>
  <c r="D3641" i="28"/>
  <c r="E3641" i="28"/>
  <c r="F3641" i="28"/>
  <c r="G3641" i="28"/>
  <c r="H3641" i="28"/>
  <c r="I3641" i="28"/>
  <c r="J3641" i="28"/>
  <c r="K3641" i="28"/>
  <c r="L3641" i="28"/>
  <c r="M3641" i="28"/>
  <c r="N3641" i="28"/>
  <c r="O3641" i="28"/>
  <c r="P3641" i="28"/>
  <c r="Q3641" i="28"/>
  <c r="B3647" i="28"/>
  <c r="C3647" i="28"/>
  <c r="D3647" i="28"/>
  <c r="E3647" i="28"/>
  <c r="F3647" i="28"/>
  <c r="G3647" i="28"/>
  <c r="H3647" i="28"/>
  <c r="I3647" i="28"/>
  <c r="J3647" i="28"/>
  <c r="K3647" i="28"/>
  <c r="L3647" i="28"/>
  <c r="M3647" i="28"/>
  <c r="N3647" i="28"/>
  <c r="O3647" i="28"/>
  <c r="P3647" i="28"/>
  <c r="Q3647" i="28"/>
  <c r="R3647" i="28"/>
  <c r="S3647" i="28"/>
  <c r="T3647" i="28"/>
  <c r="U3647" i="28"/>
  <c r="V3647" i="28"/>
  <c r="W3647" i="28"/>
  <c r="X3647" i="28"/>
  <c r="Y3647" i="28"/>
  <c r="Z3647" i="28"/>
  <c r="AA3647" i="28"/>
  <c r="AB3647" i="28"/>
  <c r="AC3647" i="28"/>
  <c r="AD3647" i="28"/>
  <c r="AE3647" i="28"/>
  <c r="AF3647" i="28"/>
  <c r="AG3647" i="28"/>
  <c r="AH3647" i="28"/>
  <c r="AI3647" i="28"/>
  <c r="AJ3647" i="28"/>
  <c r="AK3647" i="28"/>
  <c r="AL3647" i="28"/>
  <c r="AM3647" i="28"/>
  <c r="AN3647" i="28"/>
  <c r="AO3647" i="28"/>
  <c r="AP3647" i="28"/>
  <c r="AQ3647" i="28"/>
  <c r="AR3647" i="28"/>
  <c r="AS3647" i="28"/>
  <c r="AT3647" i="28"/>
  <c r="AU3647" i="28"/>
  <c r="AV3647" i="28"/>
  <c r="AW3647" i="28"/>
  <c r="AX3647" i="28"/>
  <c r="AY3647" i="28"/>
  <c r="AZ3647" i="28"/>
  <c r="BA3647" i="28"/>
  <c r="BB3647" i="28"/>
  <c r="BC3647" i="28"/>
  <c r="BD3647" i="28"/>
  <c r="BE3647" i="28"/>
  <c r="BF3647" i="28"/>
  <c r="BG3647" i="28"/>
  <c r="BH3647" i="28"/>
  <c r="BI3647" i="28"/>
  <c r="BJ3647" i="28"/>
  <c r="BK3647" i="28"/>
  <c r="BL3647" i="28"/>
  <c r="BM3647" i="28"/>
  <c r="BN3647" i="28"/>
  <c r="BO3647" i="28"/>
  <c r="BP3647" i="28"/>
  <c r="BQ3647" i="28"/>
  <c r="BR3647" i="28"/>
  <c r="BS3647" i="28"/>
  <c r="BT3647" i="28"/>
  <c r="BU3647" i="28"/>
  <c r="BV3647" i="28"/>
  <c r="BW3647" i="28"/>
  <c r="BX3647" i="28"/>
  <c r="BY3647" i="28"/>
  <c r="BZ3647" i="28"/>
  <c r="CA3647" i="28"/>
  <c r="CB3647" i="28"/>
  <c r="CC3647" i="28"/>
  <c r="CD3647" i="28"/>
  <c r="CE3647" i="28"/>
  <c r="CF3647" i="28"/>
  <c r="CG3647" i="28"/>
  <c r="CH3647" i="28"/>
  <c r="CI3647" i="28"/>
  <c r="CJ3647" i="28"/>
  <c r="CK3647" i="28"/>
  <c r="CL3647" i="28"/>
  <c r="CM3647" i="28"/>
  <c r="CN3647" i="28"/>
  <c r="CO3647" i="28"/>
  <c r="CP3647" i="28"/>
  <c r="CQ3647" i="28"/>
  <c r="CR3647" i="28"/>
  <c r="CS3647" i="28"/>
  <c r="CT3647" i="28"/>
  <c r="CU3647" i="28"/>
  <c r="CV3647" i="28"/>
  <c r="CW3647" i="28"/>
  <c r="CX3647" i="28"/>
  <c r="CY3647" i="28"/>
  <c r="CZ3647" i="28"/>
  <c r="DA3647" i="28"/>
  <c r="DB3647" i="28"/>
  <c r="DC3647" i="28"/>
  <c r="DD3647" i="28"/>
  <c r="DE3647" i="28"/>
  <c r="DF3647" i="28"/>
  <c r="DG3647" i="28"/>
  <c r="DH3647" i="28"/>
  <c r="DI3647" i="28"/>
  <c r="DJ3647" i="28"/>
  <c r="DK3647" i="28"/>
  <c r="DL3647" i="28"/>
  <c r="DM3647" i="28"/>
  <c r="DN3647" i="28"/>
  <c r="DO3647" i="28"/>
  <c r="DP3647" i="28"/>
  <c r="DQ3647" i="28"/>
  <c r="DR3647" i="28"/>
  <c r="DS3647" i="28"/>
  <c r="DT3647" i="28"/>
  <c r="DU3647" i="28"/>
  <c r="DV3647" i="28"/>
  <c r="DW3647" i="28"/>
  <c r="DX3647" i="28"/>
  <c r="DY3647" i="28"/>
  <c r="B3648" i="28"/>
  <c r="C3648" i="28"/>
  <c r="D3648" i="28"/>
  <c r="E3648" i="28"/>
  <c r="F3648" i="28"/>
  <c r="G3648" i="28"/>
  <c r="H3648" i="28"/>
  <c r="I3648" i="28"/>
  <c r="J3648" i="28"/>
  <c r="K3648" i="28"/>
  <c r="L3648" i="28"/>
  <c r="M3648" i="28"/>
  <c r="N3648" i="28"/>
  <c r="O3648" i="28"/>
  <c r="P3648" i="28"/>
  <c r="Q3648" i="28"/>
  <c r="R3648" i="28"/>
  <c r="S3648" i="28"/>
  <c r="T3648" i="28"/>
  <c r="U3648" i="28"/>
  <c r="V3648" i="28"/>
  <c r="W3648" i="28"/>
  <c r="X3648" i="28"/>
  <c r="Y3648" i="28"/>
  <c r="Z3648" i="28"/>
  <c r="AA3648" i="28"/>
  <c r="AB3648" i="28"/>
  <c r="AC3648" i="28"/>
  <c r="AD3648" i="28"/>
  <c r="AE3648" i="28"/>
  <c r="AF3648" i="28"/>
  <c r="AG3648" i="28"/>
  <c r="AH3648" i="28"/>
  <c r="AI3648" i="28"/>
  <c r="AJ3648" i="28"/>
  <c r="AK3648" i="28"/>
  <c r="AL3648" i="28"/>
  <c r="AM3648" i="28"/>
  <c r="AN3648" i="28"/>
  <c r="AO3648" i="28"/>
  <c r="AP3648" i="28"/>
  <c r="AQ3648" i="28"/>
  <c r="AR3648" i="28"/>
  <c r="AS3648" i="28"/>
  <c r="AT3648" i="28"/>
  <c r="AU3648" i="28"/>
  <c r="AV3648" i="28"/>
  <c r="AW3648" i="28"/>
  <c r="AX3648" i="28"/>
  <c r="AY3648" i="28"/>
  <c r="AZ3648" i="28"/>
  <c r="BA3648" i="28"/>
  <c r="BB3648" i="28"/>
  <c r="BC3648" i="28"/>
  <c r="BD3648" i="28"/>
  <c r="BE3648" i="28"/>
  <c r="BF3648" i="28"/>
  <c r="BG3648" i="28"/>
  <c r="BH3648" i="28"/>
  <c r="BI3648" i="28"/>
  <c r="BJ3648" i="28"/>
  <c r="BK3648" i="28"/>
  <c r="BL3648" i="28"/>
  <c r="BM3648" i="28"/>
  <c r="BN3648" i="28"/>
  <c r="BO3648" i="28"/>
  <c r="BP3648" i="28"/>
  <c r="BQ3648" i="28"/>
  <c r="BR3648" i="28"/>
  <c r="BS3648" i="28"/>
  <c r="BT3648" i="28"/>
  <c r="BU3648" i="28"/>
  <c r="BV3648" i="28"/>
  <c r="BW3648" i="28"/>
  <c r="BX3648" i="28"/>
  <c r="BY3648" i="28"/>
  <c r="BZ3648" i="28"/>
  <c r="CA3648" i="28"/>
  <c r="CB3648" i="28"/>
  <c r="CC3648" i="28"/>
  <c r="CD3648" i="28"/>
  <c r="CE3648" i="28"/>
  <c r="CF3648" i="28"/>
  <c r="CG3648" i="28"/>
  <c r="CH3648" i="28"/>
  <c r="CI3648" i="28"/>
  <c r="CJ3648" i="28"/>
  <c r="CK3648" i="28"/>
  <c r="CL3648" i="28"/>
  <c r="CM3648" i="28"/>
  <c r="CN3648" i="28"/>
  <c r="CO3648" i="28"/>
  <c r="CP3648" i="28"/>
  <c r="CQ3648" i="28"/>
  <c r="CR3648" i="28"/>
  <c r="CS3648" i="28"/>
  <c r="CT3648" i="28"/>
  <c r="CU3648" i="28"/>
  <c r="CV3648" i="28"/>
  <c r="CW3648" i="28"/>
  <c r="CX3648" i="28"/>
  <c r="CY3648" i="28"/>
  <c r="CZ3648" i="28"/>
  <c r="DA3648" i="28"/>
  <c r="DB3648" i="28"/>
  <c r="DC3648" i="28"/>
  <c r="DD3648" i="28"/>
  <c r="DE3648" i="28"/>
  <c r="DF3648" i="28"/>
  <c r="DG3648" i="28"/>
  <c r="DH3648" i="28"/>
  <c r="DI3648" i="28"/>
  <c r="DJ3648" i="28"/>
  <c r="DK3648" i="28"/>
  <c r="DL3648" i="28"/>
  <c r="DM3648" i="28"/>
  <c r="DN3648" i="28"/>
  <c r="DO3648" i="28"/>
  <c r="DP3648" i="28"/>
  <c r="DQ3648" i="28"/>
  <c r="DR3648" i="28"/>
  <c r="DS3648" i="28"/>
  <c r="DT3648" i="28"/>
  <c r="DU3648" i="28"/>
  <c r="DV3648" i="28"/>
  <c r="DW3648" i="28"/>
  <c r="DX3648" i="28"/>
  <c r="DY3648" i="28"/>
  <c r="B3649" i="28"/>
  <c r="C3649" i="28"/>
  <c r="D3649" i="28"/>
  <c r="E3649" i="28"/>
  <c r="F3649" i="28"/>
  <c r="G3649" i="28"/>
  <c r="H3649" i="28"/>
  <c r="I3649" i="28"/>
  <c r="J3649" i="28"/>
  <c r="K3649" i="28"/>
  <c r="L3649" i="28"/>
  <c r="M3649" i="28"/>
  <c r="N3649" i="28"/>
  <c r="O3649" i="28"/>
  <c r="P3649" i="28"/>
  <c r="Q3649" i="28"/>
  <c r="R3649" i="28"/>
  <c r="S3649" i="28"/>
  <c r="T3649" i="28"/>
  <c r="U3649" i="28"/>
  <c r="V3649" i="28"/>
  <c r="W3649" i="28"/>
  <c r="X3649" i="28"/>
  <c r="Y3649" i="28"/>
  <c r="Z3649" i="28"/>
  <c r="AA3649" i="28"/>
  <c r="AB3649" i="28"/>
  <c r="AC3649" i="28"/>
  <c r="AD3649" i="28"/>
  <c r="AE3649" i="28"/>
  <c r="AF3649" i="28"/>
  <c r="AG3649" i="28"/>
  <c r="AH3649" i="28"/>
  <c r="AI3649" i="28"/>
  <c r="AJ3649" i="28"/>
  <c r="AK3649" i="28"/>
  <c r="AL3649" i="28"/>
  <c r="AM3649" i="28"/>
  <c r="AN3649" i="28"/>
  <c r="AO3649" i="28"/>
  <c r="AP3649" i="28"/>
  <c r="AQ3649" i="28"/>
  <c r="AR3649" i="28"/>
  <c r="AS3649" i="28"/>
  <c r="AT3649" i="28"/>
  <c r="AU3649" i="28"/>
  <c r="AV3649" i="28"/>
  <c r="AW3649" i="28"/>
  <c r="AX3649" i="28"/>
  <c r="AY3649" i="28"/>
  <c r="AZ3649" i="28"/>
  <c r="BA3649" i="28"/>
  <c r="BB3649" i="28"/>
  <c r="BC3649" i="28"/>
  <c r="BD3649" i="28"/>
  <c r="BE3649" i="28"/>
  <c r="BF3649" i="28"/>
  <c r="BG3649" i="28"/>
  <c r="BH3649" i="28"/>
  <c r="BI3649" i="28"/>
  <c r="BJ3649" i="28"/>
  <c r="BK3649" i="28"/>
  <c r="BL3649" i="28"/>
  <c r="BM3649" i="28"/>
  <c r="BN3649" i="28"/>
  <c r="BO3649" i="28"/>
  <c r="BP3649" i="28"/>
  <c r="BQ3649" i="28"/>
  <c r="BR3649" i="28"/>
  <c r="BS3649" i="28"/>
  <c r="BT3649" i="28"/>
  <c r="BU3649" i="28"/>
  <c r="BV3649" i="28"/>
  <c r="BW3649" i="28"/>
  <c r="BX3649" i="28"/>
  <c r="BY3649" i="28"/>
  <c r="BZ3649" i="28"/>
  <c r="CA3649" i="28"/>
  <c r="CB3649" i="28"/>
  <c r="CC3649" i="28"/>
  <c r="CD3649" i="28"/>
  <c r="CE3649" i="28"/>
  <c r="CF3649" i="28"/>
  <c r="CG3649" i="28"/>
  <c r="CH3649" i="28"/>
  <c r="CI3649" i="28"/>
  <c r="CJ3649" i="28"/>
  <c r="CK3649" i="28"/>
  <c r="CL3649" i="28"/>
  <c r="CM3649" i="28"/>
  <c r="CN3649" i="28"/>
  <c r="CO3649" i="28"/>
  <c r="CP3649" i="28"/>
  <c r="CQ3649" i="28"/>
  <c r="CR3649" i="28"/>
  <c r="CS3649" i="28"/>
  <c r="CT3649" i="28"/>
  <c r="CU3649" i="28"/>
  <c r="CV3649" i="28"/>
  <c r="CW3649" i="28"/>
  <c r="CX3649" i="28"/>
  <c r="CY3649" i="28"/>
  <c r="CZ3649" i="28"/>
  <c r="DA3649" i="28"/>
  <c r="DB3649" i="28"/>
  <c r="DC3649" i="28"/>
  <c r="DD3649" i="28"/>
  <c r="DE3649" i="28"/>
  <c r="DF3649" i="28"/>
  <c r="DG3649" i="28"/>
  <c r="DH3649" i="28"/>
  <c r="DI3649" i="28"/>
  <c r="DJ3649" i="28"/>
  <c r="DK3649" i="28"/>
  <c r="DL3649" i="28"/>
  <c r="DM3649" i="28"/>
  <c r="DN3649" i="28"/>
  <c r="DO3649" i="28"/>
  <c r="DP3649" i="28"/>
  <c r="DQ3649" i="28"/>
  <c r="DR3649" i="28"/>
  <c r="DS3649" i="28"/>
  <c r="DT3649" i="28"/>
  <c r="DU3649" i="28"/>
  <c r="DV3649" i="28"/>
  <c r="DW3649" i="28"/>
  <c r="DX3649" i="28"/>
  <c r="DY3649" i="28"/>
  <c r="B3651" i="28"/>
  <c r="C3651" i="28"/>
  <c r="D3651" i="28"/>
  <c r="E3651" i="28"/>
  <c r="F3651" i="28"/>
  <c r="G3651" i="28"/>
  <c r="H3651" i="28"/>
  <c r="I3651" i="28"/>
  <c r="J3651" i="28"/>
  <c r="K3651" i="28"/>
  <c r="L3651" i="28"/>
  <c r="M3651" i="28"/>
  <c r="N3651" i="28"/>
  <c r="O3651" i="28"/>
  <c r="P3651" i="28"/>
  <c r="Q3651" i="28"/>
  <c r="R3651" i="28"/>
  <c r="S3651" i="28"/>
  <c r="T3651" i="28"/>
  <c r="U3651" i="28"/>
  <c r="V3651" i="28"/>
  <c r="W3651" i="28"/>
  <c r="X3651" i="28"/>
  <c r="Y3651" i="28"/>
  <c r="Z3651" i="28"/>
  <c r="AA3651" i="28"/>
  <c r="AB3651" i="28"/>
  <c r="AC3651" i="28"/>
  <c r="AD3651" i="28"/>
  <c r="AE3651" i="28"/>
  <c r="AF3651" i="28"/>
  <c r="AG3651" i="28"/>
  <c r="AH3651" i="28"/>
  <c r="AI3651" i="28"/>
  <c r="AJ3651" i="28"/>
  <c r="AK3651" i="28"/>
  <c r="AL3651" i="28"/>
  <c r="AM3651" i="28"/>
  <c r="AN3651" i="28"/>
  <c r="AO3651" i="28"/>
  <c r="AP3651" i="28"/>
  <c r="AQ3651" i="28"/>
  <c r="AR3651" i="28"/>
  <c r="AS3651" i="28"/>
  <c r="AT3651" i="28"/>
  <c r="AU3651" i="28"/>
  <c r="AV3651" i="28"/>
  <c r="AW3651" i="28"/>
  <c r="AX3651" i="28"/>
  <c r="AY3651" i="28"/>
  <c r="AZ3651" i="28"/>
  <c r="BA3651" i="28"/>
  <c r="BB3651" i="28"/>
  <c r="BC3651" i="28"/>
  <c r="BD3651" i="28"/>
  <c r="BE3651" i="28"/>
  <c r="BF3651" i="28"/>
  <c r="BG3651" i="28"/>
  <c r="BH3651" i="28"/>
  <c r="BI3651" i="28"/>
  <c r="BJ3651" i="28"/>
  <c r="BK3651" i="28"/>
  <c r="BL3651" i="28"/>
  <c r="BM3651" i="28"/>
  <c r="BN3651" i="28"/>
  <c r="BO3651" i="28"/>
  <c r="BP3651" i="28"/>
  <c r="BQ3651" i="28"/>
  <c r="BR3651" i="28"/>
  <c r="BS3651" i="28"/>
  <c r="BT3651" i="28"/>
  <c r="BU3651" i="28"/>
  <c r="BV3651" i="28"/>
  <c r="BW3651" i="28"/>
  <c r="BX3651" i="28"/>
  <c r="BY3651" i="28"/>
  <c r="BZ3651" i="28"/>
  <c r="CA3651" i="28"/>
  <c r="CB3651" i="28"/>
  <c r="CC3651" i="28"/>
  <c r="CD3651" i="28"/>
  <c r="CE3651" i="28"/>
  <c r="CF3651" i="28"/>
  <c r="CG3651" i="28"/>
  <c r="CH3651" i="28"/>
  <c r="CI3651" i="28"/>
  <c r="CJ3651" i="28"/>
  <c r="CK3651" i="28"/>
  <c r="CL3651" i="28"/>
  <c r="CM3651" i="28"/>
  <c r="CN3651" i="28"/>
  <c r="CO3651" i="28"/>
  <c r="CP3651" i="28"/>
  <c r="CQ3651" i="28"/>
  <c r="CR3651" i="28"/>
  <c r="CS3651" i="28"/>
  <c r="CT3651" i="28"/>
  <c r="CU3651" i="28"/>
  <c r="CV3651" i="28"/>
  <c r="CW3651" i="28"/>
  <c r="CX3651" i="28"/>
  <c r="CY3651" i="28"/>
  <c r="CZ3651" i="28"/>
  <c r="DA3651" i="28"/>
  <c r="DB3651" i="28"/>
  <c r="DC3651" i="28"/>
  <c r="DD3651" i="28"/>
  <c r="DE3651" i="28"/>
  <c r="DF3651" i="28"/>
  <c r="DG3651" i="28"/>
  <c r="DH3651" i="28"/>
  <c r="DI3651" i="28"/>
  <c r="DJ3651" i="28"/>
  <c r="DK3651" i="28"/>
  <c r="DL3651" i="28"/>
  <c r="DM3651" i="28"/>
  <c r="DN3651" i="28"/>
  <c r="DO3651" i="28"/>
  <c r="DP3651" i="28"/>
  <c r="DQ3651" i="28"/>
  <c r="DR3651" i="28"/>
  <c r="DS3651" i="28"/>
  <c r="DT3651" i="28"/>
  <c r="DU3651" i="28"/>
  <c r="DV3651" i="28"/>
  <c r="DW3651" i="28"/>
  <c r="DX3651" i="28"/>
  <c r="DY3651" i="28"/>
  <c r="O23" i="17"/>
  <c r="O22" i="17"/>
  <c r="O25" i="17"/>
  <c r="O24" i="17"/>
  <c r="O27" i="17"/>
  <c r="O26" i="17"/>
  <c r="O29" i="17"/>
  <c r="O28" i="17"/>
  <c r="O31" i="17"/>
  <c r="O30" i="17"/>
  <c r="O32" i="17"/>
  <c r="O33" i="17"/>
  <c r="T36" i="17"/>
  <c r="R36" i="17"/>
  <c r="T37" i="17"/>
  <c r="R37" i="17"/>
  <c r="T38" i="17"/>
  <c r="R38" i="17"/>
  <c r="T39" i="17"/>
  <c r="R39" i="17"/>
  <c r="AF4" i="17"/>
  <c r="AA4" i="17"/>
  <c r="G18" i="20" l="1"/>
  <c r="G16" i="20"/>
  <c r="G13" i="20"/>
  <c r="Z16" i="17"/>
  <c r="AB34" i="22"/>
  <c r="AA34" i="22"/>
  <c r="Z34" i="22"/>
  <c r="T109" i="25"/>
  <c r="T107" i="25"/>
  <c r="Q105" i="25"/>
  <c r="T102" i="25"/>
  <c r="Q94" i="25"/>
  <c r="H55" i="25"/>
  <c r="F42" i="25"/>
  <c r="F43" i="25" s="1"/>
  <c r="F44" i="25" s="1"/>
  <c r="T29" i="25" l="1"/>
  <c r="Q29" i="25"/>
  <c r="T30" i="25" l="1"/>
  <c r="D20" i="25"/>
  <c r="I18" i="25"/>
  <c r="F18" i="25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F40" i="25" s="1"/>
  <c r="I14" i="25"/>
  <c r="K5" i="25"/>
  <c r="K6" i="25" s="1"/>
  <c r="K7" i="25" s="1"/>
  <c r="K8" i="25" s="1"/>
  <c r="K9" i="25" s="1"/>
  <c r="K10" i="25" s="1"/>
  <c r="K11" i="25" s="1"/>
  <c r="K4" i="25"/>
  <c r="F4" i="25"/>
  <c r="F5" i="25" s="1"/>
  <c r="F6" i="25" s="1"/>
  <c r="F7" i="25" s="1"/>
  <c r="F8" i="25" s="1"/>
  <c r="F9" i="25" s="1"/>
  <c r="F10" i="25" s="1"/>
  <c r="F11" i="25" s="1"/>
  <c r="F12" i="25" s="1"/>
  <c r="F13" i="25" s="1"/>
  <c r="F14" i="25" s="1"/>
  <c r="F15" i="25" s="1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T50" i="22"/>
  <c r="AB35" i="22"/>
  <c r="AA35" i="22"/>
  <c r="Z35" i="22"/>
  <c r="Z49" i="21"/>
  <c r="K12" i="25" l="1"/>
  <c r="K13" i="25" s="1"/>
  <c r="K14" i="25" s="1"/>
  <c r="K15" i="25" s="1"/>
  <c r="K16" i="25" s="1"/>
  <c r="K17" i="25" s="1"/>
  <c r="K18" i="25" s="1"/>
  <c r="K19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Q30" i="25"/>
  <c r="T31" i="25"/>
  <c r="AD36" i="21"/>
  <c r="U36" i="21"/>
  <c r="U37" i="21" s="1"/>
  <c r="U38" i="21" s="1"/>
  <c r="U39" i="21" s="1"/>
  <c r="U40" i="21" s="1"/>
  <c r="U41" i="21" s="1"/>
  <c r="U42" i="21" s="1"/>
  <c r="U43" i="21" s="1"/>
  <c r="U44" i="21" s="1"/>
  <c r="U45" i="21" s="1"/>
  <c r="U46" i="21" s="1"/>
  <c r="U47" i="21" s="1"/>
  <c r="L36" i="2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A36" i="21"/>
  <c r="A37" i="21" s="1"/>
  <c r="A38" i="21" s="1"/>
  <c r="A50" i="18"/>
  <c r="AI49" i="17"/>
  <c r="AQ4" i="17"/>
  <c r="B15" i="18" l="1"/>
  <c r="B15" i="31"/>
  <c r="AD37" i="21"/>
  <c r="A39" i="21"/>
  <c r="Q31" i="25"/>
  <c r="D7" i="25"/>
  <c r="D3" i="25"/>
  <c r="T32" i="25"/>
  <c r="Q32" i="25" s="1"/>
  <c r="I6" i="25"/>
  <c r="I9" i="25"/>
  <c r="A35" i="25"/>
  <c r="T33" i="25" l="1"/>
  <c r="Q33" i="25" s="1"/>
  <c r="Q34" i="25" s="1"/>
  <c r="I34" i="25"/>
  <c r="D11" i="25"/>
  <c r="D27" i="25"/>
  <c r="T34" i="25"/>
  <c r="A36" i="25"/>
  <c r="A37" i="25" s="1"/>
  <c r="AD38" i="21"/>
  <c r="A40" i="21"/>
  <c r="I31" i="25"/>
  <c r="D40" i="25"/>
  <c r="A38" i="25" l="1"/>
  <c r="AD39" i="21"/>
  <c r="A41" i="21"/>
  <c r="T35" i="25"/>
  <c r="Q35" i="25" l="1"/>
  <c r="I26" i="25"/>
  <c r="A39" i="25"/>
  <c r="AD40" i="21"/>
  <c r="A42" i="21"/>
  <c r="T36" i="25"/>
  <c r="AD41" i="21" l="1"/>
  <c r="A43" i="21"/>
  <c r="A40" i="25"/>
  <c r="T37" i="25"/>
  <c r="D22" i="25"/>
  <c r="Q36" i="25"/>
  <c r="I23" i="25"/>
  <c r="AD42" i="21" l="1"/>
  <c r="AD43" i="21" s="1"/>
  <c r="AD44" i="21" s="1"/>
  <c r="AD45" i="21" s="1"/>
  <c r="AD46" i="21" s="1"/>
  <c r="AD47" i="21" s="1"/>
  <c r="A41" i="25"/>
  <c r="D5" i="25"/>
  <c r="Q37" i="25"/>
  <c r="T38" i="25"/>
  <c r="Q38" i="25" l="1"/>
  <c r="D9" i="25"/>
  <c r="D29" i="25"/>
  <c r="A42" i="25"/>
  <c r="T39" i="25"/>
  <c r="Q39" i="25" s="1"/>
  <c r="A43" i="25" l="1"/>
  <c r="T40" i="25"/>
  <c r="Q40" i="25" s="1"/>
  <c r="A44" i="25" l="1"/>
  <c r="T41" i="25"/>
  <c r="Q41" i="25" s="1"/>
  <c r="A45" i="25" l="1"/>
  <c r="T42" i="25"/>
  <c r="Q42" i="25" s="1"/>
  <c r="A46" i="25" l="1"/>
  <c r="T43" i="25"/>
  <c r="Q43" i="25" s="1"/>
  <c r="T44" i="25" l="1"/>
  <c r="Q44" i="25" s="1"/>
  <c r="T45" i="25" l="1"/>
  <c r="Q45" i="25" s="1"/>
  <c r="Q46" i="25" s="1"/>
  <c r="D24" i="25"/>
  <c r="Q95" i="25"/>
  <c r="Q96" i="25"/>
  <c r="Q97" i="25" s="1"/>
  <c r="Q98" i="25" s="1"/>
  <c r="Q99" i="25" s="1"/>
  <c r="Q100" i="25" s="1"/>
  <c r="Q106" i="25"/>
  <c r="Q107" i="25" s="1"/>
  <c r="Q108" i="25" s="1"/>
  <c r="Q109" i="25" s="1"/>
  <c r="Q110" i="25" s="1"/>
  <c r="Q111" i="25" s="1"/>
  <c r="Q112" i="25" s="1"/>
  <c r="Q113" i="25" s="1"/>
  <c r="Q114" i="25" s="1"/>
  <c r="Q115" i="25" s="1"/>
  <c r="Q116" i="25" s="1"/>
  <c r="Q117" i="25" s="1"/>
  <c r="Q118" i="25" s="1"/>
  <c r="Q119" i="25" s="1"/>
  <c r="Q120" i="25" s="1"/>
  <c r="Q121" i="25" s="1"/>
  <c r="Q122" i="25" s="1"/>
  <c r="D4" i="25"/>
  <c r="D26" i="25"/>
  <c r="D13" i="25"/>
  <c r="D8" i="25"/>
  <c r="D19" i="25"/>
  <c r="D42" i="25"/>
  <c r="T46" i="25"/>
  <c r="T47" i="25" s="1"/>
  <c r="T48" i="25" s="1"/>
  <c r="T103" i="25"/>
  <c r="T104" i="25" s="1"/>
  <c r="T105" i="25" s="1"/>
  <c r="T110" i="25"/>
  <c r="T111" i="25" s="1"/>
  <c r="N11" i="25"/>
  <c r="I21" i="25"/>
  <c r="I12" i="25"/>
  <c r="N8" i="25"/>
  <c r="N5" i="25"/>
  <c r="I4" i="25"/>
  <c r="N14" i="25"/>
  <c r="I29" i="25"/>
  <c r="N17" i="25"/>
  <c r="D28" i="25" l="1"/>
  <c r="Q47" i="25"/>
  <c r="N3" i="25"/>
  <c r="T49" i="25"/>
  <c r="Q48" i="25"/>
  <c r="D12" i="25"/>
  <c r="D41" i="25"/>
  <c r="D21" i="25" l="1"/>
  <c r="Q49" i="25"/>
  <c r="T50" i="25"/>
  <c r="Q50" i="25" l="1"/>
  <c r="D6" i="25"/>
  <c r="T51" i="25"/>
  <c r="Q51" i="25" l="1"/>
  <c r="D10" i="25"/>
  <c r="T52" i="25"/>
  <c r="Q52" i="25" l="1"/>
  <c r="D30" i="25"/>
  <c r="T53" i="25"/>
  <c r="T54" i="25" l="1"/>
  <c r="I15" i="25"/>
  <c r="I19" i="25"/>
  <c r="Q53" i="25"/>
  <c r="Q54" i="25" l="1"/>
  <c r="D43" i="25"/>
  <c r="D14" i="25"/>
  <c r="T55" i="25"/>
  <c r="T56" i="25" l="1"/>
  <c r="Q55" i="25"/>
  <c r="T57" i="25" l="1"/>
  <c r="T58" i="25" s="1"/>
  <c r="T59" i="25" s="1"/>
  <c r="T60" i="25" s="1"/>
  <c r="T61" i="25" s="1"/>
  <c r="T62" i="25" s="1"/>
  <c r="T63" i="25" s="1"/>
  <c r="T64" i="25" s="1"/>
  <c r="T65" i="25" s="1"/>
  <c r="T66" i="25" s="1"/>
  <c r="T67" i="25" s="1"/>
  <c r="T68" i="25" s="1"/>
  <c r="T69" i="25" s="1"/>
  <c r="T70" i="25" s="1"/>
  <c r="T71" i="25" s="1"/>
  <c r="T72" i="25" s="1"/>
  <c r="T73" i="25" s="1"/>
  <c r="T74" i="25" s="1"/>
  <c r="T75" i="25" s="1"/>
  <c r="T76" i="25" s="1"/>
  <c r="T77" i="25" s="1"/>
  <c r="T78" i="25" s="1"/>
  <c r="T79" i="25" s="1"/>
  <c r="T80" i="25" s="1"/>
  <c r="T81" i="25" s="1"/>
  <c r="T82" i="25" s="1"/>
  <c r="T83" i="25" s="1"/>
  <c r="T84" i="25" s="1"/>
  <c r="T85" i="25" s="1"/>
  <c r="T86" i="25" s="1"/>
  <c r="T87" i="25" s="1"/>
  <c r="T88" i="25" s="1"/>
  <c r="T89" i="25" s="1"/>
  <c r="T90" i="25" s="1"/>
  <c r="T91" i="25" s="1"/>
  <c r="T92" i="25" s="1"/>
  <c r="T93" i="25" s="1"/>
  <c r="T94" i="25" s="1"/>
  <c r="T95" i="25" s="1"/>
  <c r="T96" i="25" s="1"/>
  <c r="T97" i="25" s="1"/>
  <c r="T98" i="25" s="1"/>
  <c r="T99" i="25" s="1"/>
  <c r="T100" i="25" s="1"/>
  <c r="I41" i="25" s="1"/>
  <c r="I7" i="25"/>
  <c r="I13" i="25"/>
  <c r="I42" i="25"/>
  <c r="N13" i="25"/>
  <c r="N19" i="25"/>
  <c r="I25" i="25"/>
  <c r="N23" i="25"/>
  <c r="Q56" i="25"/>
  <c r="I5" i="25"/>
  <c r="N25" i="25" l="1"/>
  <c r="N6" i="25"/>
  <c r="Q57" i="25"/>
  <c r="Q58" i="25" s="1"/>
  <c r="Q59" i="25" s="1"/>
  <c r="Q60" i="25" s="1"/>
  <c r="Q61" i="25" s="1"/>
  <c r="Q62" i="25" s="1"/>
  <c r="Q63" i="25" s="1"/>
  <c r="Q64" i="25" s="1"/>
  <c r="Q65" i="25" s="1"/>
  <c r="Q66" i="25" s="1"/>
  <c r="Q67" i="25" s="1"/>
  <c r="Q68" i="25" s="1"/>
  <c r="Q69" i="25" s="1"/>
  <c r="Q70" i="25" s="1"/>
  <c r="Q71" i="25" s="1"/>
  <c r="Q72" i="25" s="1"/>
  <c r="Q73" i="25" s="1"/>
  <c r="Q74" i="25" s="1"/>
  <c r="Q75" i="25" s="1"/>
  <c r="Q76" i="25" s="1"/>
  <c r="Q77" i="25" s="1"/>
  <c r="Q78" i="25" s="1"/>
  <c r="Q79" i="25" s="1"/>
  <c r="Q80" i="25" s="1"/>
  <c r="Q81" i="25" s="1"/>
  <c r="Q82" i="25" s="1"/>
  <c r="Q83" i="25" s="1"/>
  <c r="Q84" i="25" s="1"/>
  <c r="Q85" i="25" s="1"/>
  <c r="Q86" i="25" s="1"/>
  <c r="Q87" i="25" s="1"/>
  <c r="Q88" i="25" s="1"/>
  <c r="Q89" i="25" s="1"/>
  <c r="Q90" i="25" s="1"/>
  <c r="Q91" i="25" s="1"/>
  <c r="Q92" i="25" s="1"/>
  <c r="N42" i="25" s="1"/>
  <c r="D45" i="25"/>
  <c r="I43" i="25"/>
  <c r="I17" i="25"/>
  <c r="I10" i="25"/>
  <c r="I44" i="25"/>
  <c r="I36" i="25"/>
  <c r="I22" i="25"/>
  <c r="I40" i="25"/>
  <c r="N4" i="25"/>
  <c r="I39" i="25"/>
  <c r="N15" i="25"/>
  <c r="I38" i="25"/>
  <c r="I30" i="25"/>
  <c r="I37" i="25"/>
  <c r="I11" i="25"/>
  <c r="I8" i="25"/>
  <c r="N18" i="25"/>
  <c r="I20" i="25"/>
  <c r="I24" i="25"/>
  <c r="I32" i="25"/>
  <c r="N9" i="25"/>
  <c r="I35" i="25"/>
  <c r="I27" i="25"/>
  <c r="I33" i="25"/>
  <c r="N7" i="25"/>
  <c r="N22" i="25"/>
  <c r="I28" i="25"/>
  <c r="N10" i="25"/>
  <c r="N16" i="25"/>
  <c r="N24" i="25"/>
  <c r="D17" i="25" l="1"/>
  <c r="D46" i="25"/>
  <c r="D23" i="25"/>
  <c r="D32" i="25"/>
  <c r="D37" i="25"/>
  <c r="N37" i="25"/>
  <c r="D36" i="25"/>
  <c r="D39" i="25"/>
  <c r="N32" i="25"/>
  <c r="N36" i="25"/>
  <c r="D34" i="25"/>
  <c r="N29" i="25"/>
  <c r="D18" i="25"/>
  <c r="D16" i="25"/>
  <c r="N43" i="25"/>
  <c r="D44" i="25"/>
  <c r="N35" i="25"/>
  <c r="D33" i="25"/>
  <c r="N41" i="25"/>
  <c r="N31" i="25"/>
  <c r="D31" i="25"/>
  <c r="N38" i="25"/>
  <c r="N30" i="25"/>
  <c r="N28" i="25"/>
  <c r="D35" i="25"/>
  <c r="D15" i="25"/>
  <c r="N34" i="25"/>
  <c r="D25" i="25"/>
  <c r="N39" i="25"/>
  <c r="N33" i="25"/>
  <c r="N40" i="25"/>
  <c r="D38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BExport" type="6" refreshedVersion="3" saveData="1">
    <textPr prompt="0" codePage="437" sourceFile="C:\Naztec\nazserv\Export\DBExport.txt">
      <textFields count="5">
        <textField/>
        <textField/>
        <textField/>
        <textField/>
        <textField/>
      </textFields>
    </textPr>
  </connection>
  <connection id="2" xr16:uid="{00000000-0015-0000-FFFF-FFFF01000000}" name="DBEXPORT1" type="6" refreshedVersion="4" deleted="1" saveData="1">
    <textPr prompt="0" sourceFile="C:\Naztec\ExcelTemplate\DBEXPORT.txt">
      <textFields>
        <textField/>
      </textFields>
    </textPr>
  </connection>
  <connection id="3" xr16:uid="{00000000-0015-0000-FFFF-FFFF02000000}" name="DBEXPORT10" type="6" refreshedVersion="4" deleted="1" saveData="1">
    <textPr prompt="0" sourceFile="C:\Users\JBlack\Desktop\excel spreadsheets\DBEXPORT.txt">
      <textFields>
        <textField/>
      </textFields>
    </textPr>
  </connection>
  <connection id="4" xr16:uid="{00000000-0015-0000-FFFF-FFFF03000000}" name="DBEXPORT11" type="6" refreshedVersion="4" deleted="1" saveData="1">
    <textPr prompt="0" sourceFile="C:\Users\JBlack\Desktop\excel spreadsheets\DBEXPORT.txt">
      <textFields>
        <textField/>
      </textFields>
    </textPr>
  </connection>
  <connection id="5" xr16:uid="{00000000-0015-0000-FFFF-FFFF04000000}" name="DBEXPORT12" type="6" refreshedVersion="4" deleted="1" saveData="1">
    <textPr prompt="0" sourceFile="C:\Users\JBlack\Desktop\excel spreadsheets\DBEXPORT.txt">
      <textFields>
        <textField/>
      </textFields>
    </textPr>
  </connection>
  <connection id="6" xr16:uid="{00000000-0015-0000-FFFF-FFFF05000000}" name="DBEXPORT13" type="6" refreshedVersion="4" deleted="1" saveData="1">
    <textPr prompt="0" sourceFile="C:\Users\JBlack\Desktop\excel spreadsheets\DBEXPORT.txt">
      <textFields>
        <textField/>
      </textFields>
    </textPr>
  </connection>
  <connection id="7" xr16:uid="{00000000-0015-0000-FFFF-FFFF06000000}" name="DBEXPORT15" type="6" refreshedVersion="4" deleted="1" saveData="1">
    <textPr prompt="0" sourceFile="C:\Users\JBlack\Desktop\nysdot\DBEXPORT.txt">
      <textFields>
        <textField/>
      </textFields>
    </textPr>
  </connection>
  <connection id="8" xr16:uid="{00000000-0015-0000-FFFF-FFFF07000000}" name="DBEXPORT16" type="6" refreshedVersion="4" deleted="1" saveData="1">
    <textPr prompt="0" sourceFile="C:\Users\JBlack\Desktop\nysdot\DBEXPORT.txt">
      <textFields>
        <textField/>
      </textFields>
    </textPr>
  </connection>
  <connection id="9" xr16:uid="{00000000-0015-0000-FFFF-FFFF08000000}" name="DBEXPORT17" type="6" refreshedVersion="4" deleted="1" saveData="1">
    <textPr prompt="0" sourceFile="C:\Users\JBlack\Desktop\nysdot\DBEXPORT.txt">
      <textFields>
        <textField/>
      </textFields>
    </textPr>
  </connection>
  <connection id="10" xr16:uid="{00000000-0015-0000-FFFF-FFFF09000000}" name="DBEXPORT18" type="6" refreshedVersion="4" deleted="1" saveData="1">
    <textPr prompt="0" sourceFile="C:\Naztec\Export\DBEXPORT.txt">
      <textFields>
        <textField/>
      </textFields>
    </textPr>
  </connection>
  <connection id="11" xr16:uid="{00000000-0015-0000-FFFF-FFFF0A000000}" name="DBEXPORT19" type="6" refreshedVersion="4" deleted="1" saveData="1">
    <textPr prompt="0" sourceFile="C:\Naztec\Export\DBEXPORT.txt">
      <textFields>
        <textField/>
      </textFields>
    </textPr>
  </connection>
  <connection id="12" xr16:uid="{00000000-0015-0000-FFFF-FFFF0B000000}" name="DBEXPORT2" type="6" refreshedVersion="4" deleted="1" saveData="1">
    <textPr prompt="0" sourceFile="C:\Users\JBlack\Desktop\excel spreadsheets\DBEXPORT.txt">
      <textFields>
        <textField/>
      </textFields>
    </textPr>
  </connection>
  <connection id="13" xr16:uid="{00000000-0015-0000-FFFF-FFFF0C000000}" name="DBEXPORT20" type="6" refreshedVersion="4" deleted="1" saveData="1">
    <textPr prompt="0" sourceFile="C:\Naztec\Export\DBEXPORT.txt">
      <textFields>
        <textField/>
      </textFields>
    </textPr>
  </connection>
  <connection id="14" xr16:uid="{00000000-0015-0000-FFFF-FFFF0D000000}" name="DBEXPORT21" type="6" refreshedVersion="4" deleted="1" saveData="1">
    <textPr prompt="0" sourceFile="C:\Naztec\ExcelExport\DBEXPORT.txt">
      <textFields>
        <textField/>
      </textFields>
    </textPr>
  </connection>
  <connection id="15" xr16:uid="{00000000-0015-0000-FFFF-FFFF0E000000}" name="DBEXPORT22" type="6" refreshedVersion="4" deleted="1" saveData="1">
    <textPr prompt="0" sourceFile="C:\Naztec\ExcelExport\DBEXPORT.txt">
      <textFields>
        <textField/>
      </textFields>
    </textPr>
  </connection>
  <connection id="16" xr16:uid="{00000000-0015-0000-FFFF-FFFF0F000000}" name="DBEXPORT23" type="6" refreshedVersion="4" deleted="1" saveData="1">
    <textPr prompt="0" sourceFile="C:\Naztec\Export\DBEXPORT.txt">
      <textFields>
        <textField/>
      </textFields>
    </textPr>
  </connection>
  <connection id="17" xr16:uid="{00000000-0015-0000-FFFF-FFFF10000000}" name="DBEXPORT24" type="6" refreshedVersion="4" deleted="1" saveData="1">
    <textPr prompt="0" sourceFile="C:\Naztec\Export\DBEXPORT.txt">
      <textFields>
        <textField/>
      </textFields>
    </textPr>
  </connection>
  <connection id="18" xr16:uid="{00000000-0015-0000-FFFF-FFFF11000000}" name="DBEXPORT25" type="6" refreshedVersion="4" deleted="1" saveData="1">
    <textPr prompt="0" sourceFile="C:\Naztec\Export\DBEXPORT.txt">
      <textFields>
        <textField/>
      </textFields>
    </textPr>
  </connection>
  <connection id="19" xr16:uid="{00000000-0015-0000-FFFF-FFFF12000000}" name="DBEXPORT26" type="6" refreshedVersion="4" deleted="1" saveData="1">
    <textPr prompt="0" sourceFile="C:\Naztec\Export\DBEXPORT.txt">
      <textFields>
        <textField/>
      </textFields>
    </textPr>
  </connection>
  <connection id="20" xr16:uid="{00000000-0015-0000-FFFF-FFFF13000000}" name="DBEXPORT27" type="6" refreshedVersion="4" deleted="1" saveData="1">
    <textPr prompt="0" sourceFile="C:\Naztec\ExcelExport\DBEXPORT.txt">
      <textFields>
        <textField/>
      </textFields>
    </textPr>
  </connection>
  <connection id="21" xr16:uid="{00000000-0015-0000-FFFF-FFFF14000000}" name="DBEXPORT28" type="6" refreshedVersion="4" deleted="1" saveData="1">
    <textPr prompt="0" sourceFile="C:\Naztec\Export\DBEXPORT.txt">
      <textFields>
        <textField/>
      </textFields>
    </textPr>
  </connection>
  <connection id="22" xr16:uid="{00000000-0015-0000-FFFF-FFFF15000000}" name="DBEXPORT29" type="6" refreshedVersion="4" deleted="1" saveData="1">
    <textPr prompt="0" sourceFile="C:\Naztec\Export\DBEXPORT.txt">
      <textFields>
        <textField/>
      </textFields>
    </textPr>
  </connection>
  <connection id="23" xr16:uid="{00000000-0015-0000-FFFF-FFFF16000000}" name="DBEXPORT3" type="6" refreshedVersion="4" deleted="1" saveData="1">
    <textPr prompt="0" sourceFile="C:\Users\JBlack\Desktop\excel spreadsheets\DBEXPORT.txt">
      <textFields>
        <textField/>
      </textFields>
    </textPr>
  </connection>
  <connection id="24" xr16:uid="{00000000-0015-0000-FFFF-FFFF17000000}" name="DBEXPORT30" type="6" refreshedVersion="4" deleted="1" saveData="1">
    <textPr prompt="0" sourceFile="C:\Naztec\Export\DBEXPORT.txt">
      <textFields>
        <textField/>
      </textFields>
    </textPr>
  </connection>
  <connection id="25" xr16:uid="{00000000-0015-0000-FFFF-FFFF18000000}" name="DBEXPORT31" type="6" refreshedVersion="4" deleted="1" saveData="1">
    <textPr prompt="0" sourceFile="C:\Naztec\Export\DBEXPORT.txt">
      <textFields>
        <textField/>
      </textFields>
    </textPr>
  </connection>
  <connection id="26" xr16:uid="{00000000-0015-0000-FFFF-FFFF19000000}" name="DBEXPORT32" type="6" refreshedVersion="3" deleted="1" saveData="1">
    <textPr prompt="0" sourceFile="C:\Naztec\nazserv\Export\DBEXPORT.txt">
      <textFields>
        <textField/>
      </textFields>
    </textPr>
  </connection>
  <connection id="27" xr16:uid="{00000000-0015-0000-FFFF-FFFF1A000000}" name="DBEXPORT33" type="6" refreshedVersion="3" deleted="1" saveData="1">
    <textPr prompt="0" sourceFile="C:\Naztec\nazserv\Export\DBEXPORT.txt">
      <textFields>
        <textField/>
      </textFields>
    </textPr>
  </connection>
  <connection id="28" xr16:uid="{00000000-0015-0000-FFFF-FFFF1B000000}" name="DBEXPORT34" type="6" refreshedVersion="3" deleted="1" saveData="1">
    <textPr prompt="0" sourceFile="C:\Naztec\nazserv\Export\DBEXPORT.txt">
      <textFields>
        <textField/>
      </textFields>
    </textPr>
  </connection>
  <connection id="29" xr16:uid="{00000000-0015-0000-FFFF-FFFF1C000000}" name="DBEXPORT35" type="6" refreshedVersion="3" deleted="1" saveData="1">
    <textPr prompt="0" sourceFile="C:\Naztec\nazserv\Export\DBEXPORT.txt">
      <textFields>
        <textField/>
      </textFields>
    </textPr>
  </connection>
  <connection id="30" xr16:uid="{00000000-0015-0000-FFFF-FFFF1D000000}" name="DBEXPORT4" type="6" refreshedVersion="4" deleted="1" saveData="1">
    <textPr prompt="0" sourceFile="C:\Users\JBlack\Desktop\excel spreadsheets\DBEXPORT.txt">
      <textFields>
        <textField/>
      </textFields>
    </textPr>
  </connection>
  <connection id="31" xr16:uid="{00000000-0015-0000-FFFF-FFFF1E000000}" name="DBEXPORT5" type="6" refreshedVersion="4" deleted="1" saveData="1">
    <textPr prompt="0" sourceFile="C:\Users\JBlack\Desktop\excel spreadsheets\DBEXPORT.txt">
      <textFields>
        <textField/>
      </textFields>
    </textPr>
  </connection>
  <connection id="32" xr16:uid="{00000000-0015-0000-FFFF-FFFF1F000000}" name="DBEXPORT6" type="6" refreshedVersion="4" deleted="1" saveData="1">
    <textPr prompt="0" sourceFile="C:\Users\JBlack\Desktop\excel spreadsheets\DBEXPORT.txt">
      <textFields>
        <textField/>
      </textFields>
    </textPr>
  </connection>
  <connection id="33" xr16:uid="{00000000-0015-0000-FFFF-FFFF20000000}" name="DBEXPORT7" type="6" refreshedVersion="4" deleted="1" saveData="1">
    <textPr prompt="0" sourceFile="C:\Users\JBlack\Desktop\excel spreadsheets\DBEXPORT.txt">
      <textFields>
        <textField/>
      </textFields>
    </textPr>
  </connection>
  <connection id="34" xr16:uid="{00000000-0015-0000-FFFF-FFFF21000000}" name="DBEXPORT8" type="6" refreshedVersion="4" deleted="1" refreshOnLoad="1" saveData="1">
    <textPr prompt="0" sourceFile="C:\Users\JBlack\Desktop\excel spreadsheets\DBEXPORT.txt">
      <textFields>
        <textField/>
      </textFields>
    </textPr>
  </connection>
  <connection id="35" xr16:uid="{00000000-0015-0000-FFFF-FFFF22000000}" name="DBEXPORT9" type="6" refreshedVersion="4" deleted="1" saveData="1">
    <textPr prompt="0" sourceFile="C:\Users\JBlack\Desktop\excel spreadsheets\DBEXPORT.txt">
      <textFields>
        <textField/>
      </textFields>
    </textPr>
  </connection>
</connections>
</file>

<file path=xl/sharedStrings.xml><?xml version="1.0" encoding="utf-8"?>
<sst xmlns="http://schemas.openxmlformats.org/spreadsheetml/2006/main" count="10005" uniqueCount="4002">
  <si>
    <t>Port</t>
  </si>
  <si>
    <t>IO Mode</t>
  </si>
  <si>
    <t>Preempt or Ext Output</t>
  </si>
  <si>
    <t>Lock Inhibit</t>
  </si>
  <si>
    <t>Flt</t>
  </si>
  <si>
    <t>Mon</t>
  </si>
  <si>
    <t>Plan</t>
  </si>
  <si>
    <t>Link</t>
  </si>
  <si>
    <t>Hour</t>
  </si>
  <si>
    <t>Pattern</t>
  </si>
  <si>
    <t>Daylight Savings</t>
  </si>
  <si>
    <t>Force Mode</t>
  </si>
  <si>
    <t>Auto Reset</t>
  </si>
  <si>
    <t>External</t>
  </si>
  <si>
    <t>Dwell</t>
  </si>
  <si>
    <t>Long</t>
  </si>
  <si>
    <t>Offset</t>
  </si>
  <si>
    <t>Ret Hold</t>
  </si>
  <si>
    <t>Short</t>
  </si>
  <si>
    <t>Delay</t>
  </si>
  <si>
    <t>Flash Dwell</t>
  </si>
  <si>
    <t>Lock Input</t>
  </si>
  <si>
    <t>Min Dwell</t>
  </si>
  <si>
    <t>Max</t>
  </si>
  <si>
    <t>P1</t>
  </si>
  <si>
    <t>P2</t>
  </si>
  <si>
    <t>Alarm 1</t>
  </si>
  <si>
    <t>Alarm 2</t>
  </si>
  <si>
    <t>Alarm 3</t>
  </si>
  <si>
    <t>Alarm 4</t>
  </si>
  <si>
    <t>Alarm 5</t>
  </si>
  <si>
    <t>Alarm 6</t>
  </si>
  <si>
    <t>Dly</t>
  </si>
  <si>
    <t>Src</t>
  </si>
  <si>
    <t xml:space="preserve"> </t>
  </si>
  <si>
    <t>Date</t>
  </si>
  <si>
    <t>Phase</t>
  </si>
  <si>
    <t>Min Grn</t>
  </si>
  <si>
    <t>Max 1</t>
  </si>
  <si>
    <t>Max 2</t>
  </si>
  <si>
    <t>Yel Clr</t>
  </si>
  <si>
    <t>Red Clr</t>
  </si>
  <si>
    <t>Walk</t>
  </si>
  <si>
    <t>Ped Clr</t>
  </si>
  <si>
    <t>Max Initial</t>
  </si>
  <si>
    <t>Reduce By</t>
  </si>
  <si>
    <t>Min Gap</t>
  </si>
  <si>
    <t>Dual Entry</t>
  </si>
  <si>
    <t>Reservice</t>
  </si>
  <si>
    <t>Type</t>
  </si>
  <si>
    <t>Grn</t>
  </si>
  <si>
    <t>Yel</t>
  </si>
  <si>
    <t>Red</t>
  </si>
  <si>
    <t>Mode</t>
  </si>
  <si>
    <t>C</t>
  </si>
  <si>
    <t>O</t>
  </si>
  <si>
    <t>Seq</t>
  </si>
  <si>
    <t>Det</t>
  </si>
  <si>
    <t>Min</t>
  </si>
  <si>
    <t>Act</t>
  </si>
  <si>
    <t>Free</t>
  </si>
  <si>
    <t>Flash</t>
  </si>
  <si>
    <t>Exit Phase</t>
  </si>
  <si>
    <t>Det 1</t>
  </si>
  <si>
    <t>Det 2</t>
  </si>
  <si>
    <t>Det 3</t>
  </si>
  <si>
    <t>Det 4</t>
  </si>
  <si>
    <t>Det 5</t>
  </si>
  <si>
    <t>Det 6</t>
  </si>
  <si>
    <t>Det 7</t>
  </si>
  <si>
    <t>Det 8</t>
  </si>
  <si>
    <t>Det 9</t>
  </si>
  <si>
    <t>Det 10</t>
  </si>
  <si>
    <t>Det 11</t>
  </si>
  <si>
    <t>Det 12</t>
  </si>
  <si>
    <t>Det 13</t>
  </si>
  <si>
    <t>Det 14</t>
  </si>
  <si>
    <t>Det 15</t>
  </si>
  <si>
    <t>Det 16</t>
  </si>
  <si>
    <t>Det 17</t>
  </si>
  <si>
    <t>Det 18</t>
  </si>
  <si>
    <t>Det 19</t>
  </si>
  <si>
    <t>Det 20</t>
  </si>
  <si>
    <t>Det 21</t>
  </si>
  <si>
    <t>Det 22</t>
  </si>
  <si>
    <t>Det 23</t>
  </si>
  <si>
    <t>Det 24</t>
  </si>
  <si>
    <t>Det 25</t>
  </si>
  <si>
    <t>Det 26</t>
  </si>
  <si>
    <t>Det 27</t>
  </si>
  <si>
    <t>Det 28</t>
  </si>
  <si>
    <t>Det 29</t>
  </si>
  <si>
    <t>Det 30</t>
  </si>
  <si>
    <t>Det 31</t>
  </si>
  <si>
    <t>Det 32</t>
  </si>
  <si>
    <t>Det 33</t>
  </si>
  <si>
    <t>Det 34</t>
  </si>
  <si>
    <t>Det 35</t>
  </si>
  <si>
    <t>Det 36</t>
  </si>
  <si>
    <t>Det 37</t>
  </si>
  <si>
    <t>Det 38</t>
  </si>
  <si>
    <t>Det 39</t>
  </si>
  <si>
    <t>Det 40</t>
  </si>
  <si>
    <t>Det 41</t>
  </si>
  <si>
    <t>Det 42</t>
  </si>
  <si>
    <t>Det 43</t>
  </si>
  <si>
    <t>Det 44</t>
  </si>
  <si>
    <t>Off</t>
  </si>
  <si>
    <t>Call</t>
  </si>
  <si>
    <t>Occupancy</t>
  </si>
  <si>
    <t>Add Init Calc</t>
  </si>
  <si>
    <t>Cond Service</t>
  </si>
  <si>
    <t>Enable</t>
  </si>
  <si>
    <t>Guar Passage</t>
  </si>
  <si>
    <t>Max Recall</t>
  </si>
  <si>
    <t>Max2</t>
  </si>
  <si>
    <t>Min Green</t>
  </si>
  <si>
    <t>Min Recall</t>
  </si>
  <si>
    <t>Ped Clearance</t>
  </si>
  <si>
    <t>Ped Recall</t>
  </si>
  <si>
    <t>Red Revert</t>
  </si>
  <si>
    <t>Rest In Walk</t>
  </si>
  <si>
    <t>Ring</t>
  </si>
  <si>
    <t>Soft Recall</t>
  </si>
  <si>
    <t>Time To Reduce</t>
  </si>
  <si>
    <t>Ped Delay</t>
  </si>
  <si>
    <t>Red Rest</t>
  </si>
  <si>
    <t>Time</t>
  </si>
  <si>
    <t>Auto Ped Clear</t>
  </si>
  <si>
    <t>Diamond Mode</t>
  </si>
  <si>
    <t>Feature Profile</t>
  </si>
  <si>
    <t>Max Seek Dwell Time</t>
  </si>
  <si>
    <t>Max Seek Track Time</t>
  </si>
  <si>
    <t>Phase Mode</t>
  </si>
  <si>
    <t>Tone Disable</t>
  </si>
  <si>
    <t>Flash 1-2 Hertz</t>
  </si>
  <si>
    <t>Movement</t>
  </si>
  <si>
    <t>Phase Options+ [1.1.3]</t>
  </si>
  <si>
    <t>Times [1.1.1]</t>
  </si>
  <si>
    <t>Seq #</t>
  </si>
  <si>
    <t>expanded splits?</t>
  </si>
  <si>
    <t xml:space="preserve">Options+ </t>
  </si>
  <si>
    <t>Gap, Ext</t>
  </si>
  <si>
    <t>PedClr Thru Yel</t>
  </si>
  <si>
    <t>SkipRed-NoCall</t>
  </si>
  <si>
    <t>Phase Seq. (2 ring) Chart [1.2.4]</t>
  </si>
  <si>
    <t>Yel Clearance</t>
  </si>
  <si>
    <t>Phases</t>
  </si>
  <si>
    <t>Red Clearance</t>
  </si>
  <si>
    <t>Max II</t>
  </si>
  <si>
    <t>Max Inhibit</t>
  </si>
  <si>
    <t>Red Rest on Gap</t>
  </si>
  <si>
    <t>Add Initial</t>
  </si>
  <si>
    <t>Conflicting Phase</t>
  </si>
  <si>
    <t>Grn/Ped Delay</t>
  </si>
  <si>
    <t>Time B4 Reduct</t>
  </si>
  <si>
    <t>Omit Yel, Yel P</t>
  </si>
  <si>
    <t>Cars B4 Reduct</t>
  </si>
  <si>
    <t>Ped Out/Olp Ped</t>
  </si>
  <si>
    <t>StartYel, Next P</t>
  </si>
  <si>
    <t>Unit Params [1.2.1]</t>
  </si>
  <si>
    <t>Phase Concurrency [1.1.4]</t>
  </si>
  <si>
    <t>StartUp</t>
  </si>
  <si>
    <t>Concurrent Phases</t>
  </si>
  <si>
    <t>DyMaxLim</t>
  </si>
  <si>
    <t>Loc Flsh Start</t>
  </si>
  <si>
    <t>Max Step</t>
  </si>
  <si>
    <t>Options [1.1.2]</t>
  </si>
  <si>
    <t>Display Time</t>
  </si>
  <si>
    <t>AudioPedTime</t>
  </si>
  <si>
    <t>CNA FreeTime</t>
  </si>
  <si>
    <t>MCE Timeout</t>
  </si>
  <si>
    <t>Max Cyc Timer</t>
  </si>
  <si>
    <t>Lock Calls</t>
  </si>
  <si>
    <t>Free Ring Seq</t>
  </si>
  <si>
    <t>CycFlt Actn</t>
  </si>
  <si>
    <t>Auto Flash Entry</t>
  </si>
  <si>
    <t>Clrnc Decide</t>
  </si>
  <si>
    <t>Auto Flash Exit</t>
  </si>
  <si>
    <t>Allow Skip Yel</t>
  </si>
  <si>
    <t>LPAlt Srs</t>
  </si>
  <si>
    <t>Enable Simul Gap</t>
  </si>
  <si>
    <t>Times+ [1.1.7]</t>
  </si>
  <si>
    <t>Gaurantee Passage</t>
  </si>
  <si>
    <t>Channel</t>
  </si>
  <si>
    <t>Echo</t>
  </si>
  <si>
    <t>BikeClr</t>
  </si>
  <si>
    <t>Async 1</t>
  </si>
  <si>
    <t>Non-Actuated 1</t>
  </si>
  <si>
    <t>Async 2</t>
  </si>
  <si>
    <t>Non-Actuated 2</t>
  </si>
  <si>
    <t>Async 3</t>
  </si>
  <si>
    <t>Async 4</t>
  </si>
  <si>
    <t>Sync 1</t>
  </si>
  <si>
    <t>Comm [6.2]</t>
  </si>
  <si>
    <t>Comm [6.5]</t>
  </si>
  <si>
    <t>Sync 2</t>
  </si>
  <si>
    <t>Baud Rate</t>
  </si>
  <si>
    <t>FCM</t>
  </si>
  <si>
    <t>IP Address:</t>
  </si>
  <si>
    <t>TS2CVM</t>
  </si>
  <si>
    <t>Advance Warning [1.1.9]</t>
  </si>
  <si>
    <t>Mask:</t>
  </si>
  <si>
    <t>Opticom</t>
  </si>
  <si>
    <t>Ph</t>
  </si>
  <si>
    <t>Gateway:</t>
  </si>
  <si>
    <t>Aux Out #1</t>
  </si>
  <si>
    <t>Port #:</t>
  </si>
  <si>
    <t>Aux Out #2</t>
  </si>
  <si>
    <t>Date Printed:</t>
  </si>
  <si>
    <t>Page 1</t>
  </si>
  <si>
    <t>[2.4] Patterns</t>
  </si>
  <si>
    <t>[2.7.1-24] Splits</t>
  </si>
  <si>
    <t>[2.5] Transition</t>
  </si>
  <si>
    <t>Pat#</t>
  </si>
  <si>
    <t>Cyc</t>
  </si>
  <si>
    <t>Split</t>
  </si>
  <si>
    <t>[2.7]</t>
  </si>
  <si>
    <t>No Shortway Ø</t>
  </si>
  <si>
    <t>E-Yld</t>
  </si>
  <si>
    <t>Test OpMode</t>
  </si>
  <si>
    <t>Correction</t>
  </si>
  <si>
    <t>Maximum</t>
  </si>
  <si>
    <t>Closed Loop</t>
  </si>
  <si>
    <t>Stop-in-Walk</t>
  </si>
  <si>
    <t>Expand Splt</t>
  </si>
  <si>
    <t>Ped Recycle</t>
  </si>
  <si>
    <t>Before</t>
  </si>
  <si>
    <t>After</t>
  </si>
  <si>
    <t>Page 2</t>
  </si>
  <si>
    <r>
      <t xml:space="preserve">Included </t>
    </r>
    <r>
      <rPr>
        <sz val="9"/>
        <rFont val="Arial"/>
        <family val="2"/>
      </rPr>
      <t>Ø</t>
    </r>
  </si>
  <si>
    <t>Pre #</t>
  </si>
  <si>
    <t>Output</t>
  </si>
  <si>
    <t>Skip</t>
  </si>
  <si>
    <t>Co+Pre</t>
  </si>
  <si>
    <t>Column</t>
  </si>
  <si>
    <t>Modifier Ø</t>
  </si>
  <si>
    <t>Conflict Ø</t>
  </si>
  <si>
    <t>Peds</t>
  </si>
  <si>
    <t>A</t>
  </si>
  <si>
    <t>Conflict Olap</t>
  </si>
  <si>
    <t>Conflict Ped</t>
  </si>
  <si>
    <t>B</t>
  </si>
  <si>
    <t>MinDura</t>
  </si>
  <si>
    <t>MaxPres</t>
  </si>
  <si>
    <t>MinGrn</t>
  </si>
  <si>
    <t>MinWlk</t>
  </si>
  <si>
    <t>PedClr</t>
  </si>
  <si>
    <t>Track Grn</t>
  </si>
  <si>
    <t>No.</t>
  </si>
  <si>
    <t>Over-ride                      Auto Flash</t>
  </si>
  <si>
    <t>D</t>
  </si>
  <si>
    <t>Preempt Overlaps +</t>
  </si>
  <si>
    <t>E</t>
  </si>
  <si>
    <t>Track</t>
  </si>
  <si>
    <t>Pre      No.</t>
  </si>
  <si>
    <t>Return Max</t>
  </si>
  <si>
    <t>F</t>
  </si>
  <si>
    <t>G</t>
  </si>
  <si>
    <t>Lock</t>
  </si>
  <si>
    <t>H</t>
  </si>
  <si>
    <t>Channel Parameters [1.8.3]</t>
  </si>
  <si>
    <t>Pre Invert Rail Input</t>
  </si>
  <si>
    <t>CHANNEL SETTINGS [1.8] plus UNIT PARAMETERS [1.2.1]</t>
  </si>
  <si>
    <t>CHANNEL SETTINGS [1.8.1]</t>
  </si>
  <si>
    <t>Chan Settings [1.8.2]</t>
  </si>
  <si>
    <t>Phase / Olap #</t>
  </si>
  <si>
    <t>Channel Type</t>
  </si>
  <si>
    <t>Channel Flash</t>
  </si>
  <si>
    <t>CHANNEL PARMETERS [1.8.3]</t>
  </si>
  <si>
    <t>CH 17-24 Mapping:</t>
  </si>
  <si>
    <t>D-Conn Mapping:</t>
  </si>
  <si>
    <t>Invert Rail Inputs:</t>
  </si>
  <si>
    <t>C1-C11-ABC IO Mode:</t>
  </si>
  <si>
    <t>CHANNELS+ [1.8.4]</t>
  </si>
  <si>
    <t>I/O LOGIC [1.8.7]</t>
  </si>
  <si>
    <t>Ped Parms (MM&gt;5&gt;4)</t>
  </si>
  <si>
    <t>Row#</t>
  </si>
  <si>
    <t>Result</t>
  </si>
  <si>
    <t>Function</t>
  </si>
  <si>
    <t>Timer</t>
  </si>
  <si>
    <t>I/O</t>
  </si>
  <si>
    <t>Fcn</t>
  </si>
  <si>
    <t>Inv</t>
  </si>
  <si>
    <t>I/0</t>
  </si>
  <si>
    <t>Sec</t>
  </si>
  <si>
    <t>Det#</t>
  </si>
  <si>
    <t>No</t>
  </si>
  <si>
    <t>Err</t>
  </si>
  <si>
    <t>Pres</t>
  </si>
  <si>
    <t>Cnt</t>
  </si>
  <si>
    <t>Veh Par 1-32 [5.1]</t>
  </si>
  <si>
    <t>Vehicle Options 1-32 [5.2]</t>
  </si>
  <si>
    <t>Parameters+ 1-32 [5.3]</t>
  </si>
  <si>
    <t>Info Only</t>
  </si>
  <si>
    <t>Swi</t>
  </si>
  <si>
    <t>Dlay</t>
  </si>
  <si>
    <t>Ext</t>
  </si>
  <si>
    <t>Que</t>
  </si>
  <si>
    <t>Fail</t>
  </si>
  <si>
    <t>Add</t>
  </si>
  <si>
    <t>Yell</t>
  </si>
  <si>
    <t>occ</t>
  </si>
  <si>
    <t>vol</t>
  </si>
  <si>
    <t>#</t>
  </si>
  <si>
    <t>Ø</t>
  </si>
  <si>
    <t>Init</t>
  </si>
  <si>
    <t>Y</t>
  </si>
  <si>
    <t>R</t>
  </si>
  <si>
    <t>Vol/Occ Period</t>
  </si>
  <si>
    <t>Seconds</t>
  </si>
  <si>
    <t>Minutes</t>
  </si>
  <si>
    <t>Alt# 1 Times Table [1.1.6.1]</t>
  </si>
  <si>
    <t>Alt# 2 Options Table [1.1.6.2]</t>
  </si>
  <si>
    <t>Alternate Tables [2.6]</t>
  </si>
  <si>
    <t>Column#... -&gt;</t>
  </si>
  <si>
    <t>Column #  -&gt;</t>
  </si>
  <si>
    <t>POpt</t>
  </si>
  <si>
    <t>PTime</t>
  </si>
  <si>
    <t>DetGrp</t>
  </si>
  <si>
    <t>Call/Inh</t>
  </si>
  <si>
    <t>Olp Off</t>
  </si>
  <si>
    <t>CNA1</t>
  </si>
  <si>
    <t>Dia</t>
  </si>
  <si>
    <t>Assign Ø</t>
  </si>
  <si>
    <t>Dual Enrty</t>
  </si>
  <si>
    <t>Enabl SimGap</t>
  </si>
  <si>
    <t>Gaur Passage</t>
  </si>
  <si>
    <t>Alt# 2 Times Table [1.1.6.1]</t>
  </si>
  <si>
    <t>Non-Act 1</t>
  </si>
  <si>
    <t>Conflicting Ø1</t>
  </si>
  <si>
    <t>Alt# 3 Options Table [1.1.6.2]</t>
  </si>
  <si>
    <t>Alt# 3 Times Table [1.1.6.1]</t>
  </si>
  <si>
    <t>Alt# 4 Options Table [1.1.6.2]</t>
  </si>
  <si>
    <t>Alt# 1 Options Table [1.1.6.2]</t>
  </si>
  <si>
    <t>Annual Schedule [4.3]</t>
  </si>
  <si>
    <t>Month</t>
  </si>
  <si>
    <t>Day of Week</t>
  </si>
  <si>
    <t>Day Plan</t>
  </si>
  <si>
    <t>J</t>
  </si>
  <si>
    <t>M</t>
  </si>
  <si>
    <t>S</t>
  </si>
  <si>
    <t>N</t>
  </si>
  <si>
    <t>T</t>
  </si>
  <si>
    <t>W</t>
  </si>
  <si>
    <t>DAY PLANS [4.4]</t>
  </si>
  <si>
    <t>Evt</t>
  </si>
  <si>
    <t>A1</t>
  </si>
  <si>
    <t>A2</t>
  </si>
  <si>
    <t>A3</t>
  </si>
  <si>
    <t>S1</t>
  </si>
  <si>
    <t>S2</t>
  </si>
  <si>
    <t>S3</t>
  </si>
  <si>
    <t>S4</t>
  </si>
  <si>
    <t>S5</t>
  </si>
  <si>
    <t>S6</t>
  </si>
  <si>
    <t>S7</t>
  </si>
  <si>
    <t>S8</t>
  </si>
  <si>
    <t>Alarm</t>
  </si>
  <si>
    <t>Ev</t>
  </si>
  <si>
    <t>Alr</t>
  </si>
  <si>
    <t xml:space="preserve">Power Up Alarm.  </t>
  </si>
  <si>
    <t>Stop Timing</t>
  </si>
  <si>
    <t>Cabinet Door Activation</t>
  </si>
  <si>
    <t>Coordination Failure</t>
  </si>
  <si>
    <t>External Alarm # 1</t>
  </si>
  <si>
    <t>External Alarm # 2</t>
  </si>
  <si>
    <t>External Alarm # 3</t>
  </si>
  <si>
    <t>External Alarm # 4</t>
  </si>
  <si>
    <t>Closed Loop Disabled</t>
  </si>
  <si>
    <t>External Alarm # 5</t>
  </si>
  <si>
    <t>External Alarm # 6</t>
  </si>
  <si>
    <t>Manual Control Enable</t>
  </si>
  <si>
    <t>Coord Free Input</t>
  </si>
  <si>
    <t>Local Flash Input</t>
  </si>
  <si>
    <t>Cycle Fault</t>
  </si>
  <si>
    <t>Cycle Failure</t>
  </si>
  <si>
    <t>Coordination Fault</t>
  </si>
  <si>
    <t>Controller Fault</t>
  </si>
  <si>
    <t>EEPROM CRC Fault</t>
  </si>
  <si>
    <t>Preempt 1 Input</t>
  </si>
  <si>
    <t>Preempt 2 Input</t>
  </si>
  <si>
    <t>Preempt 3 Input</t>
  </si>
  <si>
    <t>Preempt 4 Input</t>
  </si>
  <si>
    <t>Preempt 5 Input</t>
  </si>
  <si>
    <t>Preempt 6 Input</t>
  </si>
  <si>
    <t>Preempt 7 Input</t>
  </si>
  <si>
    <t>Preempt 8 Input</t>
  </si>
  <si>
    <t>Preempt 9 Input</t>
  </si>
  <si>
    <t>Preempt 10 Input</t>
  </si>
  <si>
    <t>I/O Inputs - 1.8.9.1.5</t>
  </si>
  <si>
    <t>I/O OUTPUTS - 1.8.9.2.5</t>
  </si>
  <si>
    <t>C-1        PIN</t>
  </si>
  <si>
    <t>I/O Source</t>
  </si>
  <si>
    <t>Input Name</t>
  </si>
  <si>
    <t>Output Name</t>
  </si>
  <si>
    <t>I1-1</t>
  </si>
  <si>
    <t>Logic Grd</t>
  </si>
  <si>
    <t>O6-1</t>
  </si>
  <si>
    <t>I1-2</t>
  </si>
  <si>
    <t>O6-2</t>
  </si>
  <si>
    <t>I1-3</t>
  </si>
  <si>
    <t>O6-3</t>
  </si>
  <si>
    <t>I1-4</t>
  </si>
  <si>
    <t>O6-4</t>
  </si>
  <si>
    <t>I1-5</t>
  </si>
  <si>
    <t>O6-5</t>
  </si>
  <si>
    <t>I1-6</t>
  </si>
  <si>
    <t>O6-6</t>
  </si>
  <si>
    <t>I1-7</t>
  </si>
  <si>
    <t>O6-7</t>
  </si>
  <si>
    <t>I1-8</t>
  </si>
  <si>
    <t>O6-8</t>
  </si>
  <si>
    <t>I2-1</t>
  </si>
  <si>
    <t>O7-1</t>
  </si>
  <si>
    <t>I2-2</t>
  </si>
  <si>
    <t>I2-3</t>
  </si>
  <si>
    <t>O7-2</t>
  </si>
  <si>
    <t>I2-4</t>
  </si>
  <si>
    <t>O7-3</t>
  </si>
  <si>
    <t>I2-5</t>
  </si>
  <si>
    <t>O7-4</t>
  </si>
  <si>
    <t>I2-6</t>
  </si>
  <si>
    <t>O7-5</t>
  </si>
  <si>
    <t>I2-7</t>
  </si>
  <si>
    <t>O7-6</t>
  </si>
  <si>
    <t>I2-8</t>
  </si>
  <si>
    <t>O7-7</t>
  </si>
  <si>
    <t>I3-1</t>
  </si>
  <si>
    <t>O7-8</t>
  </si>
  <si>
    <t>I3-2</t>
  </si>
  <si>
    <t>I3-3</t>
  </si>
  <si>
    <t>I3-4</t>
  </si>
  <si>
    <t>I3-5</t>
  </si>
  <si>
    <t>I3-6</t>
  </si>
  <si>
    <t>I3-7</t>
  </si>
  <si>
    <t>I3-8</t>
  </si>
  <si>
    <t>Inputs</t>
  </si>
  <si>
    <t>Outputs</t>
  </si>
  <si>
    <t>I4-5</t>
  </si>
  <si>
    <t>Input</t>
  </si>
  <si>
    <t>I4-6</t>
  </si>
  <si>
    <t>Unused</t>
  </si>
  <si>
    <t>I4-7</t>
  </si>
  <si>
    <t>Veh Det 1</t>
  </si>
  <si>
    <t>Red Ch 1</t>
  </si>
  <si>
    <t>I4-8</t>
  </si>
  <si>
    <t>Veh Det 2</t>
  </si>
  <si>
    <t>Red Ch 2</t>
  </si>
  <si>
    <t>I5-1</t>
  </si>
  <si>
    <t>Veh Det 3</t>
  </si>
  <si>
    <t>Red Ch 3</t>
  </si>
  <si>
    <t>I5-2</t>
  </si>
  <si>
    <t>Veh Det 4</t>
  </si>
  <si>
    <t>Red Ch 4</t>
  </si>
  <si>
    <t>I5-3</t>
  </si>
  <si>
    <t>Veh Det 5</t>
  </si>
  <si>
    <t>Red Ch 5</t>
  </si>
  <si>
    <t>I5-4</t>
  </si>
  <si>
    <t>Veh Det 6</t>
  </si>
  <si>
    <t>Red Ch 6</t>
  </si>
  <si>
    <t>I5-5</t>
  </si>
  <si>
    <t>Veh Det 7</t>
  </si>
  <si>
    <t>Red Ch 7</t>
  </si>
  <si>
    <t>I5-6</t>
  </si>
  <si>
    <t>Veh Det 8</t>
  </si>
  <si>
    <t>Red Ch 8</t>
  </si>
  <si>
    <t>I5-7</t>
  </si>
  <si>
    <t>Veh Det 9</t>
  </si>
  <si>
    <t>Red Ch 9</t>
  </si>
  <si>
    <t>I5-8</t>
  </si>
  <si>
    <t>Veh Det 10</t>
  </si>
  <si>
    <t>Red Ch 10</t>
  </si>
  <si>
    <t>I6-1</t>
  </si>
  <si>
    <t>Veh Det 11</t>
  </si>
  <si>
    <t>Red Ch 11</t>
  </si>
  <si>
    <t>I6-2</t>
  </si>
  <si>
    <t>Veh Det 12</t>
  </si>
  <si>
    <t>Red Ch 12</t>
  </si>
  <si>
    <t>I6-3</t>
  </si>
  <si>
    <t>Veh Det 13</t>
  </si>
  <si>
    <t>Red Ch 13</t>
  </si>
  <si>
    <t>I6-4</t>
  </si>
  <si>
    <t>Veh Det 14</t>
  </si>
  <si>
    <t>Red Ch 14</t>
  </si>
  <si>
    <t>I6-5</t>
  </si>
  <si>
    <t>Veh Det 15</t>
  </si>
  <si>
    <t>Red Ch 15</t>
  </si>
  <si>
    <t>I6-6</t>
  </si>
  <si>
    <t>Veh Det 16</t>
  </si>
  <si>
    <t>Red Ch 16</t>
  </si>
  <si>
    <t>I6-7</t>
  </si>
  <si>
    <t>Veh Det 17</t>
  </si>
  <si>
    <t>Red Ch 17</t>
  </si>
  <si>
    <t>I6-8</t>
  </si>
  <si>
    <t>Veh Det 18</t>
  </si>
  <si>
    <t>Red Ch 18</t>
  </si>
  <si>
    <t>Veh Det 19</t>
  </si>
  <si>
    <t>Red Ch 19</t>
  </si>
  <si>
    <t>Veh Det 20</t>
  </si>
  <si>
    <t>Red Ch 20</t>
  </si>
  <si>
    <t>Veh Det 21</t>
  </si>
  <si>
    <t>Red Ch 21</t>
  </si>
  <si>
    <t>Veh Det 22</t>
  </si>
  <si>
    <t>Red Ch 22</t>
  </si>
  <si>
    <t>Veh Det 23</t>
  </si>
  <si>
    <t>Red Ch 23</t>
  </si>
  <si>
    <t>Veh Det 24</t>
  </si>
  <si>
    <t>Red Ch 24</t>
  </si>
  <si>
    <t>Veh Det 25</t>
  </si>
  <si>
    <t>Yel Chan 1</t>
  </si>
  <si>
    <t>Veh Det 26</t>
  </si>
  <si>
    <t>Yel Chan 2</t>
  </si>
  <si>
    <t>Veh Det 27</t>
  </si>
  <si>
    <t>Yel Chan 3</t>
  </si>
  <si>
    <t>Veh Det 28</t>
  </si>
  <si>
    <t>Yel Chan 4</t>
  </si>
  <si>
    <t>Veh Det 29</t>
  </si>
  <si>
    <t>Yel Chan 5</t>
  </si>
  <si>
    <t>Veh Det 30</t>
  </si>
  <si>
    <t>Yel Chan 6</t>
  </si>
  <si>
    <t>Veh Det 31</t>
  </si>
  <si>
    <t>Yel Chan 7</t>
  </si>
  <si>
    <t>Veh Det 32</t>
  </si>
  <si>
    <t>Yel Chan 8</t>
  </si>
  <si>
    <t>Veh Det 33</t>
  </si>
  <si>
    <t>Yel Chan 9</t>
  </si>
  <si>
    <t>Veh Det 34</t>
  </si>
  <si>
    <t>Yel Chan 10</t>
  </si>
  <si>
    <t>Veh Det 35</t>
  </si>
  <si>
    <t>Yel Chan 11</t>
  </si>
  <si>
    <t>Veh Det 36</t>
  </si>
  <si>
    <t>Yel Chan 12</t>
  </si>
  <si>
    <t>Veh Det 37</t>
  </si>
  <si>
    <t>Yel Chan 13</t>
  </si>
  <si>
    <t>Veh Det 38</t>
  </si>
  <si>
    <t>Yel Chan 14</t>
  </si>
  <si>
    <t>Veh Det 39</t>
  </si>
  <si>
    <t>Yel Chan 15</t>
  </si>
  <si>
    <t>Veh Det 40</t>
  </si>
  <si>
    <t>Yel Chan 16</t>
  </si>
  <si>
    <t>Veh Det 41</t>
  </si>
  <si>
    <t>Yel Chan 17</t>
  </si>
  <si>
    <t>Veh Det 42</t>
  </si>
  <si>
    <t>Yel Chan 18</t>
  </si>
  <si>
    <t>Veh Det 43</t>
  </si>
  <si>
    <t>Yel Chan 19</t>
  </si>
  <si>
    <t>Veh Det 44</t>
  </si>
  <si>
    <t>Yel Chan 20</t>
  </si>
  <si>
    <t>Veh Det 45</t>
  </si>
  <si>
    <t>Yel Chan 21</t>
  </si>
  <si>
    <t>Veh Det 46</t>
  </si>
  <si>
    <t>Yel Chan 22</t>
  </si>
  <si>
    <t>Veh Det 47</t>
  </si>
  <si>
    <t>Yel Chan 23</t>
  </si>
  <si>
    <t>Veh Det 48</t>
  </si>
  <si>
    <t>Yel Chan 24</t>
  </si>
  <si>
    <t>Veh Det 49</t>
  </si>
  <si>
    <t>Grn Chan 1</t>
  </si>
  <si>
    <t>Veh Det 50</t>
  </si>
  <si>
    <t>Grn Chan 2</t>
  </si>
  <si>
    <t>Veh Det 51</t>
  </si>
  <si>
    <t>Grn Chan 3</t>
  </si>
  <si>
    <t>Veh Det 52</t>
  </si>
  <si>
    <t>Grn Chan 4</t>
  </si>
  <si>
    <t>Veh Det 53</t>
  </si>
  <si>
    <t>Grn Chan 5</t>
  </si>
  <si>
    <t>Veh Det 54</t>
  </si>
  <si>
    <t>Grn Chan 6</t>
  </si>
  <si>
    <t>Veh Det 55</t>
  </si>
  <si>
    <t>Grn Chan 7</t>
  </si>
  <si>
    <t>Veh Det 56</t>
  </si>
  <si>
    <t>Grn Chan 8</t>
  </si>
  <si>
    <t>Veh Det 57</t>
  </si>
  <si>
    <t>Grn Chan 9</t>
  </si>
  <si>
    <t>Veh Det 58</t>
  </si>
  <si>
    <t>Grn Chan 10</t>
  </si>
  <si>
    <t>Veh Det 59</t>
  </si>
  <si>
    <t>Grn Chan 11</t>
  </si>
  <si>
    <t>Veh Det 60</t>
  </si>
  <si>
    <t>Grn Chan 12</t>
  </si>
  <si>
    <t>Veh Det 61</t>
  </si>
  <si>
    <t>Grn Chan 13</t>
  </si>
  <si>
    <t>Veh Det 62</t>
  </si>
  <si>
    <t>Grn Chan 14</t>
  </si>
  <si>
    <t>Veh Det 63</t>
  </si>
  <si>
    <t>Grn Chan 15</t>
  </si>
  <si>
    <t>Veh Det 64</t>
  </si>
  <si>
    <t>Grn Chan 16</t>
  </si>
  <si>
    <t>Ped Call 1</t>
  </si>
  <si>
    <t>Grn Chan 17</t>
  </si>
  <si>
    <t>Ped Call 2</t>
  </si>
  <si>
    <t>Grn Chan 18</t>
  </si>
  <si>
    <t>Ped Call 3</t>
  </si>
  <si>
    <t>Grn Chan 19</t>
  </si>
  <si>
    <t>Ped Call 4</t>
  </si>
  <si>
    <t>Grn Chan 20</t>
  </si>
  <si>
    <t>Ped Call 5</t>
  </si>
  <si>
    <t>Grn Chan 21</t>
  </si>
  <si>
    <t>Ped Call 6</t>
  </si>
  <si>
    <t>Grn Chan 22</t>
  </si>
  <si>
    <t>Ped Call 7</t>
  </si>
  <si>
    <t>Grn Chan 23</t>
  </si>
  <si>
    <t>Ped Call 8</t>
  </si>
  <si>
    <t>Grn Chan 24</t>
  </si>
  <si>
    <t>Int Advance</t>
  </si>
  <si>
    <t>Fault Monitor</t>
  </si>
  <si>
    <t>ManCntrlEnbl</t>
  </si>
  <si>
    <t>Voltage Monitor</t>
  </si>
  <si>
    <t>Flash Logic</t>
  </si>
  <si>
    <t>Watchdog</t>
  </si>
  <si>
    <t>Flash In</t>
  </si>
  <si>
    <t>Not Used</t>
  </si>
  <si>
    <t>Pre 1</t>
  </si>
  <si>
    <t>Pre 2</t>
  </si>
  <si>
    <t>Auto Flash</t>
  </si>
  <si>
    <t>Pre 1 In</t>
  </si>
  <si>
    <t>Pre 2 In</t>
  </si>
  <si>
    <t>Pre 3 In</t>
  </si>
  <si>
    <t>Pre 4 In</t>
  </si>
  <si>
    <t>Pre 5 In</t>
  </si>
  <si>
    <t>Pre 6 In</t>
  </si>
  <si>
    <t>Pre 7 In</t>
  </si>
  <si>
    <t>Pre 8 In</t>
  </si>
  <si>
    <t>Cab Flash</t>
  </si>
  <si>
    <t>Comp StopTm</t>
  </si>
  <si>
    <t>Local Flash</t>
  </si>
  <si>
    <t>Startup Flash</t>
  </si>
  <si>
    <t>Start Red Tm</t>
  </si>
  <si>
    <t>TOD Dimming</t>
  </si>
  <si>
    <t>ST over Prmpt</t>
  </si>
  <si>
    <t>Mx Seek TrkTm</t>
  </si>
  <si>
    <t>Mx Seek Dwell</t>
  </si>
  <si>
    <t>Prmpt/Ext Coor</t>
  </si>
  <si>
    <t>Aux Switch</t>
  </si>
  <si>
    <t/>
  </si>
  <si>
    <t>Yellow &lt; 3"</t>
  </si>
  <si>
    <t xml:space="preserve">ID: </t>
  </si>
  <si>
    <t>Conflict Lock Enable</t>
  </si>
  <si>
    <t>Parent P Clearance</t>
  </si>
  <si>
    <t>Xtra Incl Phases</t>
  </si>
  <si>
    <t>OLP GENERAL PARAMETERS [1.5.1]</t>
  </si>
  <si>
    <t>Time Base Parameters [4.6]</t>
  </si>
  <si>
    <t>Daylight Savings Time</t>
  </si>
  <si>
    <t>Time Base Sync Ref</t>
  </si>
  <si>
    <t>GMT Offset</t>
  </si>
  <si>
    <t>Crd-P</t>
  </si>
  <si>
    <t>Date Printed</t>
  </si>
  <si>
    <t>Alarm Parameters [1.6.7.1]</t>
  </si>
  <si>
    <t>Reassign User Alarm #1 In (5):</t>
  </si>
  <si>
    <t>Reassign User Alarm #2 In (6):</t>
  </si>
  <si>
    <t>Pattern Events:</t>
  </si>
  <si>
    <t>Local Txmt Alarms:</t>
  </si>
  <si>
    <t>Preempt Events:</t>
  </si>
  <si>
    <t>ID:</t>
  </si>
  <si>
    <t>NAME:</t>
  </si>
  <si>
    <t>Dir</t>
  </si>
  <si>
    <t>Intersection Name:</t>
  </si>
  <si>
    <t xml:space="preserve">Name: </t>
  </si>
  <si>
    <t>Prepared by:</t>
  </si>
  <si>
    <t>NTCIP Yield</t>
  </si>
  <si>
    <t>Name:</t>
  </si>
  <si>
    <t>Overlap 1-8 Program Parms &amp; Parm+ [1.5.2.1] [1.5.2.8]</t>
  </si>
  <si>
    <t>O1-1</t>
  </si>
  <si>
    <t>O1-2</t>
  </si>
  <si>
    <t>O1-3</t>
  </si>
  <si>
    <t>O1-4</t>
  </si>
  <si>
    <t>O1-5</t>
  </si>
  <si>
    <t>O1-6</t>
  </si>
  <si>
    <t>O1-7</t>
  </si>
  <si>
    <t>O1-8</t>
  </si>
  <si>
    <t>O2-1</t>
  </si>
  <si>
    <t>O2-2</t>
  </si>
  <si>
    <t>O2-3</t>
  </si>
  <si>
    <t>O2-4</t>
  </si>
  <si>
    <t>O2-5</t>
  </si>
  <si>
    <t>O2-6</t>
  </si>
  <si>
    <t>O2-7</t>
  </si>
  <si>
    <t>O2-8</t>
  </si>
  <si>
    <t>O3-1</t>
  </si>
  <si>
    <t>O3-2</t>
  </si>
  <si>
    <t>O3-3</t>
  </si>
  <si>
    <t>O3-4</t>
  </si>
  <si>
    <t>O3-5</t>
  </si>
  <si>
    <t>O3-6</t>
  </si>
  <si>
    <t>O3-7</t>
  </si>
  <si>
    <t>O3-8</t>
  </si>
  <si>
    <t>O4-1</t>
  </si>
  <si>
    <t>O4-2</t>
  </si>
  <si>
    <t>O4-3</t>
  </si>
  <si>
    <t>O4-4</t>
  </si>
  <si>
    <t>O4-5</t>
  </si>
  <si>
    <t>O4-6</t>
  </si>
  <si>
    <t>O4-7</t>
  </si>
  <si>
    <t>O4-8</t>
  </si>
  <si>
    <t>O5-1</t>
  </si>
  <si>
    <t>O5-2</t>
  </si>
  <si>
    <t>O5-3</t>
  </si>
  <si>
    <t>O5-4</t>
  </si>
  <si>
    <t>O5-5</t>
  </si>
  <si>
    <t>O5-6</t>
  </si>
  <si>
    <t>O5-7</t>
  </si>
  <si>
    <t>O5-8</t>
  </si>
  <si>
    <t>OFF</t>
  </si>
  <si>
    <t>Max/Min</t>
  </si>
  <si>
    <t>Coord Diagnostic Fault</t>
  </si>
  <si>
    <t>Download Request</t>
  </si>
  <si>
    <t>EEPROM Compare Fault</t>
  </si>
  <si>
    <t>Controller Access</t>
  </si>
  <si>
    <t>FIO Changed Status</t>
  </si>
  <si>
    <t>CMU/MMU Flash Input</t>
  </si>
  <si>
    <t>MMU Fault</t>
  </si>
  <si>
    <t>Leave Walk</t>
  </si>
  <si>
    <t>Latch Sec Frc</t>
  </si>
  <si>
    <t>Flash Mode</t>
  </si>
  <si>
    <t>[2.1] Coord Modes+</t>
  </si>
  <si>
    <t>Coord Modes+ (Page 2)</t>
  </si>
  <si>
    <t>Easy Float</t>
  </si>
  <si>
    <t>Comm Ports [6.6]</t>
  </si>
  <si>
    <t>GPS</t>
  </si>
  <si>
    <t>I/O Outputs - 1.8.9.2.5</t>
  </si>
  <si>
    <t>C-11 INPUTS</t>
  </si>
  <si>
    <t>O8-1</t>
  </si>
  <si>
    <t>O8-2</t>
  </si>
  <si>
    <t>O8-3</t>
  </si>
  <si>
    <t>O8-4</t>
  </si>
  <si>
    <t>C-11 OUTPUTS</t>
  </si>
  <si>
    <t>I7-1</t>
  </si>
  <si>
    <t>I7-2</t>
  </si>
  <si>
    <t>I7-3</t>
  </si>
  <si>
    <t>I7-4</t>
  </si>
  <si>
    <t>I7-5</t>
  </si>
  <si>
    <t>I7-6</t>
  </si>
  <si>
    <t>I7-7</t>
  </si>
  <si>
    <t>I7-8</t>
  </si>
  <si>
    <t>I8-1</t>
  </si>
  <si>
    <t>I8-2</t>
  </si>
  <si>
    <t>I8-3</t>
  </si>
  <si>
    <t>I8-4</t>
  </si>
  <si>
    <t>I8-5</t>
  </si>
  <si>
    <t>I8-6</t>
  </si>
  <si>
    <t>I8-7</t>
  </si>
  <si>
    <t>I8-8</t>
  </si>
  <si>
    <t>.</t>
  </si>
  <si>
    <t>Loop</t>
  </si>
  <si>
    <t>Camera</t>
  </si>
  <si>
    <t>Radar</t>
  </si>
  <si>
    <t>Micro-Lp</t>
  </si>
  <si>
    <t>Mag</t>
  </si>
  <si>
    <t>N/A</t>
  </si>
  <si>
    <t>Bike</t>
  </si>
  <si>
    <t>Plan 1</t>
  </si>
  <si>
    <t>Walk2</t>
  </si>
  <si>
    <t>GrnFlash</t>
  </si>
  <si>
    <t>SfClrMn</t>
  </si>
  <si>
    <t>SfClrNoFlsh</t>
  </si>
  <si>
    <t>Week</t>
  </si>
  <si>
    <t>Spring</t>
  </si>
  <si>
    <t>Fall</t>
  </si>
  <si>
    <t>Qjump</t>
  </si>
  <si>
    <t>Times</t>
  </si>
  <si>
    <t>IO PARAMETERS [1.8.6]</t>
  </si>
  <si>
    <t>T &amp; F BIU Mapping</t>
  </si>
  <si>
    <t>ASC</t>
  </si>
  <si>
    <r>
      <t xml:space="preserve">Configuration: </t>
    </r>
    <r>
      <rPr>
        <b/>
        <sz val="10"/>
        <color theme="5" tint="-0.249977111117893"/>
        <rFont val="Arial"/>
        <family val="2"/>
      </rPr>
      <t>Standard File</t>
    </r>
  </si>
  <si>
    <t>Pattern Change</t>
  </si>
  <si>
    <t>Tm</t>
  </si>
  <si>
    <t>Extend      Dwell</t>
  </si>
  <si>
    <t>EVP Ped Confirm</t>
  </si>
  <si>
    <t>7  4</t>
  </si>
  <si>
    <t>Flash Red</t>
  </si>
  <si>
    <t>Flash Yellow</t>
  </si>
  <si>
    <t>Slot</t>
  </si>
  <si>
    <t>1I1U</t>
  </si>
  <si>
    <t>2I2U</t>
  </si>
  <si>
    <t>2I2L</t>
  </si>
  <si>
    <t>2I3U</t>
  </si>
  <si>
    <t>2I3L</t>
  </si>
  <si>
    <t>2I4U</t>
  </si>
  <si>
    <t>3I5U</t>
  </si>
  <si>
    <t>4I6U</t>
  </si>
  <si>
    <t>4I6L</t>
  </si>
  <si>
    <t>4I7U</t>
  </si>
  <si>
    <t>4I7L</t>
  </si>
  <si>
    <t>4I8U</t>
  </si>
  <si>
    <t>1I9U</t>
  </si>
  <si>
    <t>3I9L</t>
  </si>
  <si>
    <t>5J1U</t>
  </si>
  <si>
    <t>6J2U</t>
  </si>
  <si>
    <t>6J2L</t>
  </si>
  <si>
    <t>6J3U</t>
  </si>
  <si>
    <t>6J3L</t>
  </si>
  <si>
    <t>7J5U</t>
  </si>
  <si>
    <t>8J6U</t>
  </si>
  <si>
    <t>8J6L</t>
  </si>
  <si>
    <t>8J7U</t>
  </si>
  <si>
    <t>8J7L</t>
  </si>
  <si>
    <t>8J8U</t>
  </si>
  <si>
    <t>5J9U</t>
  </si>
  <si>
    <t>7J9L</t>
  </si>
  <si>
    <t>2I11U</t>
  </si>
  <si>
    <t>4I11L</t>
  </si>
  <si>
    <t>6J11U</t>
  </si>
  <si>
    <t>8J11L</t>
  </si>
  <si>
    <t>1I1L</t>
  </si>
  <si>
    <t>2I4L</t>
  </si>
  <si>
    <t>3I5L</t>
  </si>
  <si>
    <t>4I8L</t>
  </si>
  <si>
    <t>5J1L</t>
  </si>
  <si>
    <t>6J4L</t>
  </si>
  <si>
    <t>7J5L</t>
  </si>
  <si>
    <t>8J8L</t>
  </si>
  <si>
    <t>4I10U</t>
  </si>
  <si>
    <t>4I10L</t>
  </si>
  <si>
    <t>8J10U</t>
  </si>
  <si>
    <t>8J10L</t>
  </si>
  <si>
    <t>ID Number:</t>
  </si>
  <si>
    <t>LOCATION:</t>
  </si>
  <si>
    <t>DETECTOR ASSIGNMENTS</t>
  </si>
  <si>
    <t>ISOLATORS</t>
  </si>
  <si>
    <t>"I"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</si>
  <si>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</si>
  <si>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</si>
  <si>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</si>
  <si>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</si>
  <si>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</si>
  <si>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</si>
  <si>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</si>
  <si>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</si>
  <si>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</si>
  <si>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</si>
  <si>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</si>
  <si>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</si>
  <si>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</si>
  <si>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</si>
  <si>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UPPER</t>
  </si>
  <si>
    <t>Ph 1</t>
  </si>
  <si>
    <t>Ph 2</t>
  </si>
  <si>
    <t>Ph 3</t>
  </si>
  <si>
    <t>Ph 4</t>
  </si>
  <si>
    <t>Ph 2/4</t>
  </si>
  <si>
    <t>Ph 6</t>
  </si>
  <si>
    <t>FLASH</t>
  </si>
  <si>
    <t>Call&amp;Ext</t>
  </si>
  <si>
    <t>Call&amp;TP3</t>
  </si>
  <si>
    <t>PPB</t>
  </si>
  <si>
    <t>SENSE</t>
  </si>
  <si>
    <t>T2-1&amp;2</t>
  </si>
  <si>
    <t>T2-5&amp;6</t>
  </si>
  <si>
    <t>T2-9&amp;10</t>
  </si>
  <si>
    <t>T4-1&amp;2</t>
  </si>
  <si>
    <t>T4-5&amp;6</t>
  </si>
  <si>
    <t>T4-9&amp;10</t>
  </si>
  <si>
    <t>T6-1&amp;2</t>
  </si>
  <si>
    <t>T6-5&amp;6</t>
  </si>
  <si>
    <t>T6-9&amp;10</t>
  </si>
  <si>
    <t>T10-5&amp;6</t>
  </si>
  <si>
    <t xml:space="preserve">T8-1 </t>
  </si>
  <si>
    <t xml:space="preserve">T8-4 </t>
  </si>
  <si>
    <t xml:space="preserve">T8-7 </t>
  </si>
  <si>
    <t xml:space="preserve">T8-10 </t>
  </si>
  <si>
    <t>C1-56</t>
  </si>
  <si>
    <t>C1-39</t>
  </si>
  <si>
    <t>C1-63</t>
  </si>
  <si>
    <t>C1-47</t>
  </si>
  <si>
    <t>C1-58</t>
  </si>
  <si>
    <t>C1-41</t>
  </si>
  <si>
    <t>C1-65</t>
  </si>
  <si>
    <t>C1-49</t>
  </si>
  <si>
    <t>C1-60</t>
  </si>
  <si>
    <t>C11-23</t>
  </si>
  <si>
    <t>C1-80</t>
  </si>
  <si>
    <t>C1-67</t>
  </si>
  <si>
    <t>C1-68</t>
  </si>
  <si>
    <t>C1-81</t>
  </si>
  <si>
    <t>LOWER</t>
  </si>
  <si>
    <t>Ph  4</t>
  </si>
  <si>
    <t>Ph  8</t>
  </si>
  <si>
    <t>STOP</t>
  </si>
  <si>
    <t>TIMING</t>
  </si>
  <si>
    <t>T2-3&amp;4</t>
  </si>
  <si>
    <t>T2-7&amp;8</t>
  </si>
  <si>
    <t>T2-11&amp;12</t>
  </si>
  <si>
    <t>T4-3&amp;4</t>
  </si>
  <si>
    <t>T4-7&amp;8</t>
  </si>
  <si>
    <t>T4-11&amp;12</t>
  </si>
  <si>
    <t>T6-3&amp;4</t>
  </si>
  <si>
    <t>T6-7&amp;8</t>
  </si>
  <si>
    <t>T6-11&amp;12</t>
  </si>
  <si>
    <t>T10-7&amp;8</t>
  </si>
  <si>
    <t xml:space="preserve">T8-2 </t>
  </si>
  <si>
    <t xml:space="preserve">T8-5 </t>
  </si>
  <si>
    <t xml:space="preserve">T8-8 </t>
  </si>
  <si>
    <t xml:space="preserve">T8-11 </t>
  </si>
  <si>
    <t>C11-15</t>
  </si>
  <si>
    <t>C1-43</t>
  </si>
  <si>
    <t>C1-76</t>
  </si>
  <si>
    <t>C11-16</t>
  </si>
  <si>
    <t>C11-17</t>
  </si>
  <si>
    <t>C1-45</t>
  </si>
  <si>
    <t>C1-78</t>
  </si>
  <si>
    <t>C11-18</t>
  </si>
  <si>
    <t>C1-62</t>
  </si>
  <si>
    <t>C11-24</t>
  </si>
  <si>
    <t>C1-53</t>
  </si>
  <si>
    <t>C1-69</t>
  </si>
  <si>
    <t>C1-70</t>
  </si>
  <si>
    <t>C1-82</t>
  </si>
  <si>
    <t>"J"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</si>
  <si>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</si>
  <si>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</si>
  <si>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</si>
  <si>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</si>
  <si>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</si>
  <si>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</si>
  <si>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</si>
  <si>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</si>
  <si>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</si>
  <si>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</si>
  <si>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</si>
  <si>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</si>
  <si>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</si>
  <si>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</si>
  <si>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Ph 5</t>
  </si>
  <si>
    <t>Ph 7</t>
  </si>
  <si>
    <t>Ph 8</t>
  </si>
  <si>
    <t>Ph 6/8</t>
  </si>
  <si>
    <t>EMER A</t>
  </si>
  <si>
    <t>EMER B</t>
  </si>
  <si>
    <t>RR1</t>
  </si>
  <si>
    <t>Ph 2 + 5</t>
  </si>
  <si>
    <t>Ph 4 + 7</t>
  </si>
  <si>
    <t>T3-1&amp;2</t>
  </si>
  <si>
    <t>T3-5&amp;6</t>
  </si>
  <si>
    <t>T3-9&amp;10</t>
  </si>
  <si>
    <t>T5-1&amp;2</t>
  </si>
  <si>
    <t>T5-5&amp;6</t>
  </si>
  <si>
    <t>T5-9&amp;10</t>
  </si>
  <si>
    <t>T7-1&amp;2</t>
  </si>
  <si>
    <t>T7-5&amp;6</t>
  </si>
  <si>
    <t>T7-9&amp;10</t>
  </si>
  <si>
    <t>T10-9&amp;10</t>
  </si>
  <si>
    <t xml:space="preserve">T9-1 </t>
  </si>
  <si>
    <t xml:space="preserve">T9-4 </t>
  </si>
  <si>
    <t xml:space="preserve">T9-5 </t>
  </si>
  <si>
    <t xml:space="preserve">T9-10 </t>
  </si>
  <si>
    <t>C1-55</t>
  </si>
  <si>
    <t>C1-40</t>
  </si>
  <si>
    <t>C1-64</t>
  </si>
  <si>
    <t>C1-48</t>
  </si>
  <si>
    <t>C1-57</t>
  </si>
  <si>
    <t>C1-42</t>
  </si>
  <si>
    <t>C1-66</t>
  </si>
  <si>
    <t>C1-50</t>
  </si>
  <si>
    <t>C1-59</t>
  </si>
  <si>
    <t>C11-25</t>
  </si>
  <si>
    <t>C1-54</t>
  </si>
  <si>
    <t>C1-71</t>
  </si>
  <si>
    <t>C1-72</t>
  </si>
  <si>
    <t>C1-51</t>
  </si>
  <si>
    <t>EMER C</t>
  </si>
  <si>
    <t>EMER D</t>
  </si>
  <si>
    <t>RR2</t>
  </si>
  <si>
    <t>EXT</t>
  </si>
  <si>
    <t>Ph 1 + 6</t>
  </si>
  <si>
    <t>Ph 3 + 8</t>
  </si>
  <si>
    <t>LTD OP</t>
  </si>
  <si>
    <t>T3-3&amp;4</t>
  </si>
  <si>
    <t>T3-7&amp;8</t>
  </si>
  <si>
    <t>T3-11&amp;12</t>
  </si>
  <si>
    <t>T5-3&amp;4</t>
  </si>
  <si>
    <t>T5-7&amp;8</t>
  </si>
  <si>
    <t>T5-11&amp;12</t>
  </si>
  <si>
    <t>T7-3&amp;4</t>
  </si>
  <si>
    <t>T7-7&amp;8</t>
  </si>
  <si>
    <t>T7-11&amp;12</t>
  </si>
  <si>
    <t>T10-11&amp;12</t>
  </si>
  <si>
    <t xml:space="preserve">T9-2 </t>
  </si>
  <si>
    <t>T9-7</t>
  </si>
  <si>
    <t xml:space="preserve">T9-8 </t>
  </si>
  <si>
    <t xml:space="preserve">T9-11 </t>
  </si>
  <si>
    <t>C11-19</t>
  </si>
  <si>
    <t>C1-44</t>
  </si>
  <si>
    <t>C1-77</t>
  </si>
  <si>
    <t>C11-20</t>
  </si>
  <si>
    <t>C11-21</t>
  </si>
  <si>
    <t>C1-46</t>
  </si>
  <si>
    <t>C1-79</t>
  </si>
  <si>
    <t>C11-22</t>
  </si>
  <si>
    <t>C1-61</t>
  </si>
  <si>
    <t>C11-26</t>
  </si>
  <si>
    <t>C1-75</t>
  </si>
  <si>
    <t>C1-73</t>
  </si>
  <si>
    <t>C1-74</t>
  </si>
  <si>
    <t>C1-52</t>
  </si>
  <si>
    <t>COMMENTS:</t>
  </si>
  <si>
    <t>InhibitLockInterval</t>
  </si>
  <si>
    <t>FreeonSeqCh</t>
  </si>
  <si>
    <t>Inh Red Fl in Preempt</t>
  </si>
  <si>
    <t>Olap Ovrd</t>
  </si>
  <si>
    <t>Logic 1 (S.T.)</t>
  </si>
  <si>
    <t>6J4U</t>
  </si>
  <si>
    <t>PAGE 2</t>
  </si>
  <si>
    <t>SBL1</t>
  </si>
  <si>
    <t>EBL1</t>
  </si>
  <si>
    <t>WBT1</t>
  </si>
  <si>
    <t>NBL1</t>
  </si>
  <si>
    <t>WBL1</t>
  </si>
  <si>
    <t>EBT1</t>
  </si>
  <si>
    <t>SBT1</t>
  </si>
  <si>
    <t>WBT2</t>
  </si>
  <si>
    <t>NBT1</t>
  </si>
  <si>
    <t>EBT2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</si>
  <si>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</si>
  <si>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</si>
  <si>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</si>
  <si>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</si>
  <si>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</si>
  <si>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</si>
  <si>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</si>
  <si>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</si>
  <si>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</si>
  <si>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 xml:space="preserve">  2  5</t>
  </si>
  <si>
    <t>1  6</t>
  </si>
  <si>
    <t>ATMS</t>
  </si>
  <si>
    <t>SG</t>
  </si>
  <si>
    <t>Host IPs</t>
  </si>
  <si>
    <t>SB Far</t>
  </si>
  <si>
    <t>SB Mid</t>
  </si>
  <si>
    <t>WB Far</t>
  </si>
  <si>
    <t>WB Mid</t>
  </si>
  <si>
    <t>NBLt Bk</t>
  </si>
  <si>
    <t>NBL2</t>
  </si>
  <si>
    <t>SB Bk</t>
  </si>
  <si>
    <t>SBRt</t>
  </si>
  <si>
    <t>SBT2</t>
  </si>
  <si>
    <t>EBL2</t>
  </si>
  <si>
    <t>WB Bk</t>
  </si>
  <si>
    <t>WBRt</t>
  </si>
  <si>
    <t>EBLt Bk</t>
  </si>
  <si>
    <t>NB Far</t>
  </si>
  <si>
    <t>NB Mid</t>
  </si>
  <si>
    <t>EB Far</t>
  </si>
  <si>
    <t>EB Mid</t>
  </si>
  <si>
    <t>SBLt Bk</t>
  </si>
  <si>
    <t>SBL2</t>
  </si>
  <si>
    <t>NB Bk</t>
  </si>
  <si>
    <t>NBRt</t>
  </si>
  <si>
    <t>NBT2</t>
  </si>
  <si>
    <t>WBL2</t>
  </si>
  <si>
    <t>EB Bk</t>
  </si>
  <si>
    <t>EBRt</t>
  </si>
  <si>
    <t>WBLt Bk</t>
  </si>
  <si>
    <t>BIKE</t>
  </si>
  <si>
    <t>Preemption Options+ [3.Pre #.6]</t>
  </si>
  <si>
    <t>Dwell Veh</t>
  </si>
  <si>
    <t>Preemption Times [3.#.1]</t>
  </si>
  <si>
    <t>Preemption, Options [3.#.3]</t>
  </si>
  <si>
    <t>Preemption, Times+ [3.#.4]</t>
  </si>
  <si>
    <t>Phases [3.#.2] - set the Dwell Phases</t>
  </si>
  <si>
    <t>Phases [3.#.2] - Trk Veh</t>
  </si>
  <si>
    <t>Exit Phases [3.#.2]</t>
  </si>
  <si>
    <t>Overlaps+ [3.#.5]</t>
  </si>
  <si>
    <t>Date Superseded:</t>
  </si>
  <si>
    <t>Screen Size</t>
  </si>
  <si>
    <t>Metric</t>
  </si>
  <si>
    <r>
      <t>*</t>
    </r>
    <r>
      <rPr>
        <sz val="10"/>
        <rFont val="Arial"/>
        <family val="2"/>
      </rPr>
      <t xml:space="preserve"> - 76.12B or newer</t>
    </r>
  </si>
  <si>
    <t>*StartupVehCall</t>
  </si>
  <si>
    <t>*StartupPedCall</t>
  </si>
  <si>
    <t>*InhFYA Red St</t>
  </si>
  <si>
    <t>*Max 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</si>
  <si>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</si>
  <si>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Checked by:</t>
  </si>
  <si>
    <t>Date Installed / By:</t>
  </si>
  <si>
    <t>TIMING UPDATES AND MODIFICATIONS</t>
  </si>
  <si>
    <t>DATE</t>
  </si>
  <si>
    <t>CHANGES MADE</t>
  </si>
  <si>
    <t>ATMS or CABINET</t>
  </si>
  <si>
    <t>BY</t>
  </si>
  <si>
    <t>General</t>
  </si>
  <si>
    <t>ParamName</t>
  </si>
  <si>
    <t>ACTIONNO</t>
  </si>
  <si>
    <t>AGENCY</t>
  </si>
  <si>
    <t>ATMS.now</t>
  </si>
  <si>
    <t>CH1</t>
  </si>
  <si>
    <t>CH10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</si>
  <si>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</si>
  <si>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</si>
  <si>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</si>
  <si>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</si>
  <si>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</si>
  <si>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</si>
  <si>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</si>
  <si>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</si>
  <si>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</si>
  <si>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</t>
  </si>
  <si>
    <t>CH20</t>
  </si>
  <si>
    <t>CH21</t>
  </si>
  <si>
    <t>CH22</t>
  </si>
  <si>
    <t>CH23</t>
  </si>
  <si>
    <t>CH24</t>
  </si>
  <si>
    <t>CH3</t>
  </si>
  <si>
    <t>CH4</t>
  </si>
  <si>
    <t>CH5</t>
  </si>
  <si>
    <t>CH6</t>
  </si>
  <si>
    <t>CH7</t>
  </si>
  <si>
    <t>CH8</t>
  </si>
  <si>
    <t>CH9</t>
  </si>
  <si>
    <t>CROSS</t>
  </si>
  <si>
    <t>CYCLE_NO</t>
  </si>
  <si>
    <t>DATABASE_LOCK</t>
  </si>
  <si>
    <t>DATABASE_USERNAME</t>
  </si>
  <si>
    <t>DAYPLANNO</t>
  </si>
  <si>
    <t>DHCPIP</t>
  </si>
  <si>
    <t>DOC</t>
  </si>
  <si>
    <t>DROP</t>
  </si>
  <si>
    <t>FILTERSTATUS</t>
  </si>
  <si>
    <t>ID</t>
  </si>
  <si>
    <t>INTER_ID</t>
  </si>
  <si>
    <t>IP</t>
  </si>
  <si>
    <t>LAT</t>
  </si>
  <si>
    <t>LON</t>
  </si>
  <si>
    <t>MAIN</t>
  </si>
  <si>
    <t>NAME</t>
  </si>
  <si>
    <t>PATTERN_NO</t>
  </si>
  <si>
    <t>SCHEDULENO</t>
  </si>
  <si>
    <t>SP_CNTDN_R1</t>
  </si>
  <si>
    <t>SP_CNTDN_R2</t>
  </si>
  <si>
    <t>SP_CNTDN_R3</t>
  </si>
  <si>
    <t>SP_CNTDN_R4</t>
  </si>
  <si>
    <t>STATUS</t>
  </si>
  <si>
    <t>TEAMS_ID</t>
  </si>
  <si>
    <t>TYPE</t>
  </si>
  <si>
    <t>TYPE_NAME</t>
  </si>
  <si>
    <t xml:space="preserve">NTCIP 76.x ATC Ethernet </t>
  </si>
  <si>
    <t>UDP_PORT</t>
  </si>
  <si>
    <t>USERNAME</t>
  </si>
  <si>
    <t>X</t>
  </si>
  <si>
    <t>Phase_Direction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</si>
  <si>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</si>
  <si>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</si>
  <si>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</si>
  <si>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</si>
  <si>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</si>
  <si>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</si>
  <si>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</si>
  <si>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</si>
  <si>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</si>
  <si>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Phase 10</t>
  </si>
  <si>
    <t>Phase 11</t>
  </si>
  <si>
    <t>Phase 12</t>
  </si>
  <si>
    <t>Phase 13</t>
  </si>
  <si>
    <t>Phase 14</t>
  </si>
  <si>
    <t>Phase 15</t>
  </si>
  <si>
    <t>Phase 16</t>
  </si>
  <si>
    <t>Direction</t>
  </si>
  <si>
    <t>Detector_Direction</t>
  </si>
  <si>
    <t>Det 45</t>
  </si>
  <si>
    <t>Det 46</t>
  </si>
  <si>
    <t>Det 47</t>
  </si>
  <si>
    <t>Det 48</t>
  </si>
  <si>
    <t>Det 49</t>
  </si>
  <si>
    <t>Det 50</t>
  </si>
  <si>
    <t>Det 51</t>
  </si>
  <si>
    <t>Det 52</t>
  </si>
  <si>
    <t>Det 53</t>
  </si>
  <si>
    <t>Det 54</t>
  </si>
  <si>
    <t>Det 55</t>
  </si>
  <si>
    <t>Det 56</t>
  </si>
  <si>
    <t>Det 57</t>
  </si>
  <si>
    <t>Det 58</t>
  </si>
  <si>
    <t>Det 59</t>
  </si>
  <si>
    <t>Det 60</t>
  </si>
  <si>
    <t>Det 61</t>
  </si>
  <si>
    <t>Det 62</t>
  </si>
  <si>
    <t>Det 63</t>
  </si>
  <si>
    <t>Det 64</t>
  </si>
  <si>
    <t>2A_Input_Map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</si>
  <si>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</si>
  <si>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</si>
  <si>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</si>
  <si>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</si>
  <si>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</si>
  <si>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</si>
  <si>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</si>
  <si>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</si>
  <si>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Pin 1</t>
  </si>
  <si>
    <t>Pin 2</t>
  </si>
  <si>
    <t>Pin 3</t>
  </si>
  <si>
    <t>Pin 4</t>
  </si>
  <si>
    <t>Pin 5</t>
  </si>
  <si>
    <t>Pin 6</t>
  </si>
  <si>
    <t>Pin 7</t>
  </si>
  <si>
    <t>Pin 8</t>
  </si>
  <si>
    <t>2A_Output_Map</t>
  </si>
  <si>
    <t>Actions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</si>
  <si>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</si>
  <si>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</si>
  <si>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</si>
  <si>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</si>
  <si>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</si>
  <si>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</si>
  <si>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</si>
  <si>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</si>
  <si>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</si>
  <si>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</si>
  <si>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 11</t>
  </si>
  <si>
    <t>Action 12</t>
  </si>
  <si>
    <t>Action 13</t>
  </si>
  <si>
    <t>Action 14</t>
  </si>
  <si>
    <t>Action 15</t>
  </si>
  <si>
    <t>Action 16</t>
  </si>
  <si>
    <t>Action 17</t>
  </si>
  <si>
    <t>Action 18</t>
  </si>
  <si>
    <t>Action 19</t>
  </si>
  <si>
    <t>Action 20</t>
  </si>
  <si>
    <t>Action 21</t>
  </si>
  <si>
    <t>Action 22</t>
  </si>
  <si>
    <t>Action 23</t>
  </si>
  <si>
    <t>Action 24</t>
  </si>
  <si>
    <t>Action 25</t>
  </si>
  <si>
    <t>Action 26</t>
  </si>
  <si>
    <t>Action 27</t>
  </si>
  <si>
    <t>Action 28</t>
  </si>
  <si>
    <t>Action 29</t>
  </si>
  <si>
    <t>Action 30</t>
  </si>
  <si>
    <t>Action 31</t>
  </si>
  <si>
    <t>Action 32</t>
  </si>
  <si>
    <t>Action 33</t>
  </si>
  <si>
    <t>Action 34</t>
  </si>
  <si>
    <t>Action 35</t>
  </si>
  <si>
    <t>Action 36</t>
  </si>
  <si>
    <t>Action 37</t>
  </si>
  <si>
    <t>Action 38</t>
  </si>
  <si>
    <t>Action 39</t>
  </si>
  <si>
    <t>Action 40</t>
  </si>
  <si>
    <t>Action 41</t>
  </si>
  <si>
    <t>Action 42</t>
  </si>
  <si>
    <t>Action 43</t>
  </si>
  <si>
    <t>Action 44</t>
  </si>
  <si>
    <t>Action 45</t>
  </si>
  <si>
    <t>Action 46</t>
  </si>
  <si>
    <t>Action 47</t>
  </si>
  <si>
    <t>Action 48</t>
  </si>
  <si>
    <t>Action 49</t>
  </si>
  <si>
    <t>Action 50</t>
  </si>
  <si>
    <t>Action 51</t>
  </si>
  <si>
    <t>Action 52</t>
  </si>
  <si>
    <t>Action 53</t>
  </si>
  <si>
    <t>Action 54</t>
  </si>
  <si>
    <t>Action 55</t>
  </si>
  <si>
    <t>Action 56</t>
  </si>
  <si>
    <t>Action 57</t>
  </si>
  <si>
    <t>Action 58</t>
  </si>
  <si>
    <t>Action 59</t>
  </si>
  <si>
    <t>Action 60</t>
  </si>
  <si>
    <t>Action 61</t>
  </si>
  <si>
    <t>Action 62</t>
  </si>
  <si>
    <t>Action 63</t>
  </si>
  <si>
    <t>Action 64</t>
  </si>
  <si>
    <t>Action 65</t>
  </si>
  <si>
    <t>Action 66</t>
  </si>
  <si>
    <t>Action 67</t>
  </si>
  <si>
    <t>Action 68</t>
  </si>
  <si>
    <t>Action 69</t>
  </si>
  <si>
    <t>Action 70</t>
  </si>
  <si>
    <t>Action 71</t>
  </si>
  <si>
    <t>Action 72</t>
  </si>
  <si>
    <t>Action 73</t>
  </si>
  <si>
    <t>Action 74</t>
  </si>
  <si>
    <t>Action 75</t>
  </si>
  <si>
    <t>Action 76</t>
  </si>
  <si>
    <t>Action 77</t>
  </si>
  <si>
    <t>Action 78</t>
  </si>
  <si>
    <t>Action 79</t>
  </si>
  <si>
    <t>Action 80</t>
  </si>
  <si>
    <t>Action 81</t>
  </si>
  <si>
    <t>Action 82</t>
  </si>
  <si>
    <t>Action 83</t>
  </si>
  <si>
    <t>Action 84</t>
  </si>
  <si>
    <t>Action 85</t>
  </si>
  <si>
    <t>Action 86</t>
  </si>
  <si>
    <t>Action 87</t>
  </si>
  <si>
    <t>Action 88</t>
  </si>
  <si>
    <t>Action 89</t>
  </si>
  <si>
    <t>Action 90</t>
  </si>
  <si>
    <t>Action 91</t>
  </si>
  <si>
    <t>Action 92</t>
  </si>
  <si>
    <t>Action 93</t>
  </si>
  <si>
    <t>Action 94</t>
  </si>
  <si>
    <t>Action 95</t>
  </si>
  <si>
    <t>Action 96</t>
  </si>
  <si>
    <t>Action 97</t>
  </si>
  <si>
    <t>Action 98</t>
  </si>
  <si>
    <t>Action 99</t>
  </si>
  <si>
    <t>Action 100</t>
  </si>
  <si>
    <t>Aux 1</t>
  </si>
  <si>
    <t>Aux 2</t>
  </si>
  <si>
    <t>Aux 3</t>
  </si>
  <si>
    <t>Pre1</t>
  </si>
  <si>
    <t>Pre2</t>
  </si>
  <si>
    <t>Special 1</t>
  </si>
  <si>
    <t>Special 2</t>
  </si>
  <si>
    <t>Special 3</t>
  </si>
  <si>
    <t>Special 4</t>
  </si>
  <si>
    <t>Special 5</t>
  </si>
  <si>
    <t>Special 6</t>
  </si>
  <si>
    <t>Special 7</t>
  </si>
  <si>
    <t>Special 8</t>
  </si>
  <si>
    <t>Adaptive</t>
  </si>
  <si>
    <t>Adaptive 1</t>
  </si>
  <si>
    <t>Adaptive 2</t>
  </si>
  <si>
    <t>Adaptive 3</t>
  </si>
  <si>
    <t>Adaptive 4</t>
  </si>
  <si>
    <t>Adaptive 5</t>
  </si>
  <si>
    <t>Adaptive 6</t>
  </si>
  <si>
    <t>Adaptive 7</t>
  </si>
  <si>
    <t>Adaptive 8</t>
  </si>
  <si>
    <t>P1 Degree Sat</t>
  </si>
  <si>
    <t>P1 Max Grow</t>
  </si>
  <si>
    <t>P1 Rate Limit</t>
  </si>
  <si>
    <t>P1 Storage</t>
  </si>
  <si>
    <t>P2 Degree Sat</t>
  </si>
  <si>
    <t>P2 Max Grow</t>
  </si>
  <si>
    <t>P2 Rate Limit</t>
  </si>
  <si>
    <t>P2 Storage</t>
  </si>
  <si>
    <t>P3 Degree Sat</t>
  </si>
  <si>
    <t>P3 Max Grow</t>
  </si>
  <si>
    <t>P3 Rate Limit</t>
  </si>
  <si>
    <t>P3 Storage</t>
  </si>
  <si>
    <t>P4 Degree Sat</t>
  </si>
  <si>
    <t>P4 Max Grow</t>
  </si>
  <si>
    <t>P4 Rate Limit</t>
  </si>
  <si>
    <t>P4 Storage</t>
  </si>
  <si>
    <t>P5 Degree Sat</t>
  </si>
  <si>
    <t>P5 Max Grow</t>
  </si>
  <si>
    <t>P5 Rate Limit</t>
  </si>
  <si>
    <t>P5 Storage</t>
  </si>
  <si>
    <t>P6 Degree Sat</t>
  </si>
  <si>
    <t>P6 Max Grow</t>
  </si>
  <si>
    <t>P6 Rate Limit</t>
  </si>
  <si>
    <t>P6 Storage</t>
  </si>
  <si>
    <t>P7 Degree Sat</t>
  </si>
  <si>
    <t>P7 Max Grow</t>
  </si>
  <si>
    <t>P7 Rate Limit</t>
  </si>
  <si>
    <t>P7 Storage</t>
  </si>
  <si>
    <t>P8 Degree Sat</t>
  </si>
  <si>
    <t>P8 Max Grow</t>
  </si>
  <si>
    <t>P8 Rate Limit</t>
  </si>
  <si>
    <t>P8 Storage</t>
  </si>
  <si>
    <t>Secs Per Acc</t>
  </si>
  <si>
    <t>Smooth Fact</t>
  </si>
  <si>
    <t>UpPredictor</t>
  </si>
  <si>
    <t>Adv_Schedule</t>
  </si>
  <si>
    <t>TOD 1</t>
  </si>
  <si>
    <t>TOD 2</t>
  </si>
  <si>
    <t>TOD 3</t>
  </si>
  <si>
    <t>TOD 4</t>
  </si>
  <si>
    <t>TOD 5</t>
  </si>
  <si>
    <t>TOD 6</t>
  </si>
  <si>
    <t>TOD 7</t>
  </si>
  <si>
    <t>TOD 8</t>
  </si>
  <si>
    <t>TOD 9</t>
  </si>
  <si>
    <t>TOD 10</t>
  </si>
  <si>
    <t>TOD 11</t>
  </si>
  <si>
    <t>TOD 12</t>
  </si>
  <si>
    <t>TOD 13</t>
  </si>
  <si>
    <t>TOD 14</t>
  </si>
  <si>
    <t>TOD 15</t>
  </si>
  <si>
    <t>TOD 16</t>
  </si>
  <si>
    <t>TOD 17</t>
  </si>
  <si>
    <t>TOD 18</t>
  </si>
  <si>
    <t>TOD 19</t>
  </si>
  <si>
    <t>TOD 20</t>
  </si>
  <si>
    <t>TOD 21</t>
  </si>
  <si>
    <t>TOD 22</t>
  </si>
  <si>
    <t>TOD 23</t>
  </si>
  <si>
    <t>TOD 24</t>
  </si>
  <si>
    <t>TOD 25</t>
  </si>
  <si>
    <t>TOD 26</t>
  </si>
  <si>
    <t>TOD 27</t>
  </si>
  <si>
    <t>TOD 28</t>
  </si>
  <si>
    <t>TOD 29</t>
  </si>
  <si>
    <t>TOD 30</t>
  </si>
  <si>
    <t>TOD 31</t>
  </si>
  <si>
    <t>TOD 32</t>
  </si>
  <si>
    <t>TOD 33</t>
  </si>
  <si>
    <t>TOD 34</t>
  </si>
  <si>
    <t>TOD 35</t>
  </si>
  <si>
    <t>TOD 36</t>
  </si>
  <si>
    <t>TOD 37</t>
  </si>
  <si>
    <t>TOD 38</t>
  </si>
  <si>
    <t>TOD 39</t>
  </si>
  <si>
    <t>TOD 40</t>
  </si>
  <si>
    <t>TOD 41</t>
  </si>
  <si>
    <t>TOD 42</t>
  </si>
  <si>
    <t>TOD 43</t>
  </si>
  <si>
    <t>TOD 44</t>
  </si>
  <si>
    <t>TOD 45</t>
  </si>
  <si>
    <t>TOD 46</t>
  </si>
  <si>
    <t>TOD 47</t>
  </si>
  <si>
    <t>TOD 48</t>
  </si>
  <si>
    <t>TOD 49</t>
  </si>
  <si>
    <t>TOD 50</t>
  </si>
  <si>
    <t>TOD 51</t>
  </si>
  <si>
    <t>TOD 52</t>
  </si>
  <si>
    <t>TOD 53</t>
  </si>
  <si>
    <t>TOD 54</t>
  </si>
  <si>
    <t>TOD 55</t>
  </si>
  <si>
    <t>TOD 56</t>
  </si>
  <si>
    <t>TOD 57</t>
  </si>
  <si>
    <t>TOD 58</t>
  </si>
  <si>
    <t>TOD 59</t>
  </si>
  <si>
    <t>TOD 60</t>
  </si>
  <si>
    <t>TOD 61</t>
  </si>
  <si>
    <t>TOD 62</t>
  </si>
  <si>
    <t>TOD 63</t>
  </si>
  <si>
    <t>TOD 64</t>
  </si>
  <si>
    <t>TOD 65</t>
  </si>
  <si>
    <t>TOD 66</t>
  </si>
  <si>
    <t>TOD 67</t>
  </si>
  <si>
    <t>TOD 68</t>
  </si>
  <si>
    <t>TOD 69</t>
  </si>
  <si>
    <t>TOD 70</t>
  </si>
  <si>
    <t>TOD 71</t>
  </si>
  <si>
    <t>TOD 72</t>
  </si>
  <si>
    <t>TOD 73</t>
  </si>
  <si>
    <t>TOD 74</t>
  </si>
  <si>
    <t>TOD 75</t>
  </si>
  <si>
    <t>TOD 76</t>
  </si>
  <si>
    <t>TOD 77</t>
  </si>
  <si>
    <t>TOD 78</t>
  </si>
  <si>
    <t>TOD 79</t>
  </si>
  <si>
    <t>TOD 80</t>
  </si>
  <si>
    <t>TOD 81</t>
  </si>
  <si>
    <t>TOD 82</t>
  </si>
  <si>
    <t>TOD 83</t>
  </si>
  <si>
    <t>TOD 84</t>
  </si>
  <si>
    <t>TOD 85</t>
  </si>
  <si>
    <t>TOD 86</t>
  </si>
  <si>
    <t>TOD 87</t>
  </si>
  <si>
    <t>TOD 88</t>
  </si>
  <si>
    <t>TOD 89</t>
  </si>
  <si>
    <t>TOD 90</t>
  </si>
  <si>
    <t>TOD 91</t>
  </si>
  <si>
    <t>TOD 92</t>
  </si>
  <si>
    <t>TOD 93</t>
  </si>
  <si>
    <t>TOD 94</t>
  </si>
  <si>
    <t>TOD 95</t>
  </si>
  <si>
    <t>TOD 96</t>
  </si>
  <si>
    <t>TOD 97</t>
  </si>
  <si>
    <t>TOD 98</t>
  </si>
  <si>
    <t>TOD 99</t>
  </si>
  <si>
    <t>TOD 100</t>
  </si>
  <si>
    <t>Apr</t>
  </si>
  <si>
    <t>Aug</t>
  </si>
  <si>
    <t>Dec</t>
  </si>
  <si>
    <t>Feb</t>
  </si>
  <si>
    <t>Fri</t>
  </si>
  <si>
    <t>Jan</t>
  </si>
  <si>
    <t>Jul</t>
  </si>
  <si>
    <t>Jun</t>
  </si>
  <si>
    <t>Mar</t>
  </si>
  <si>
    <t>May</t>
  </si>
  <si>
    <t>Nov</t>
  </si>
  <si>
    <t>Oct</t>
  </si>
  <si>
    <t>Sat</t>
  </si>
  <si>
    <t>Sep</t>
  </si>
  <si>
    <t>Sun</t>
  </si>
  <si>
    <t>Thu</t>
  </si>
  <si>
    <t>Tue</t>
  </si>
  <si>
    <t>Wed</t>
  </si>
  <si>
    <t>Adv_Warning</t>
  </si>
  <si>
    <t>Warning 1</t>
  </si>
  <si>
    <t>Aux Out 1 P</t>
  </si>
  <si>
    <t>Aux Out 1 Time</t>
  </si>
  <si>
    <t>Aux Out 2 P</t>
  </si>
  <si>
    <t>Aux Out 2 Time</t>
  </si>
  <si>
    <t>Async_Parameters</t>
  </si>
  <si>
    <t>Async 1 Echo</t>
  </si>
  <si>
    <t>Async 1 Mode</t>
  </si>
  <si>
    <t>Async 1 Port</t>
  </si>
  <si>
    <t>Auto_Flash</t>
  </si>
  <si>
    <t>Flash 1</t>
  </si>
  <si>
    <t>O1</t>
  </si>
  <si>
    <t>O10</t>
  </si>
  <si>
    <t>O11</t>
  </si>
  <si>
    <t>O12</t>
  </si>
  <si>
    <t>O2</t>
  </si>
  <si>
    <t>O3</t>
  </si>
  <si>
    <t>O4</t>
  </si>
  <si>
    <t>O5</t>
  </si>
  <si>
    <t>O6</t>
  </si>
  <si>
    <t>O7</t>
  </si>
  <si>
    <t>O8</t>
  </si>
  <si>
    <t>O9</t>
  </si>
  <si>
    <t>P10</t>
  </si>
  <si>
    <t>P11</t>
  </si>
  <si>
    <t>P12</t>
  </si>
  <si>
    <t>P3</t>
  </si>
  <si>
    <t>P4</t>
  </si>
  <si>
    <t>P5</t>
  </si>
  <si>
    <t>P6</t>
  </si>
  <si>
    <t>P7</t>
  </si>
  <si>
    <t>P8</t>
  </si>
  <si>
    <t>P9</t>
  </si>
  <si>
    <t>Yellow</t>
  </si>
  <si>
    <t>Auto_Flash_Parms</t>
  </si>
  <si>
    <t>Parm 1</t>
  </si>
  <si>
    <t>Input Source Type 2</t>
  </si>
  <si>
    <t>Call_Inhibit_Redirect_Alt_1</t>
  </si>
  <si>
    <t>Alt 1</t>
  </si>
  <si>
    <t>Alt 2</t>
  </si>
  <si>
    <t>Alt 3</t>
  </si>
  <si>
    <t>Alt 4</t>
  </si>
  <si>
    <t>Alt 5</t>
  </si>
  <si>
    <t>Alt 6</t>
  </si>
  <si>
    <t>Alt 7</t>
  </si>
  <si>
    <t>Alt 8</t>
  </si>
  <si>
    <t>Assign Ph</t>
  </si>
  <si>
    <t>Call P1</t>
  </si>
  <si>
    <t>Call P2</t>
  </si>
  <si>
    <t>Call P3</t>
  </si>
  <si>
    <t>Call P4</t>
  </si>
  <si>
    <t>Inhibit P1</t>
  </si>
  <si>
    <t>Inhibit P10</t>
  </si>
  <si>
    <t>Inhibit P11</t>
  </si>
  <si>
    <t>Inhibit P12</t>
  </si>
  <si>
    <t>Inhibit P13</t>
  </si>
  <si>
    <t>Inhibit P14</t>
  </si>
  <si>
    <t>Inhibit P15</t>
  </si>
  <si>
    <t>Inhibit P16</t>
  </si>
  <si>
    <t>Inhibit P2</t>
  </si>
  <si>
    <t>Inhibit P3</t>
  </si>
  <si>
    <t>Inhibit P4</t>
  </si>
  <si>
    <t>Inhibit P5</t>
  </si>
  <si>
    <t>Inhibit P6</t>
  </si>
  <si>
    <t>Inhibit P7</t>
  </si>
  <si>
    <t>Inhibit P8</t>
  </si>
  <si>
    <t>Inhibit P9</t>
  </si>
  <si>
    <t>Redirect P Calls From 1</t>
  </si>
  <si>
    <t>Redirect P Calls From 2</t>
  </si>
  <si>
    <t>Redirect P Calls From 3</t>
  </si>
  <si>
    <t>Redirect P Calls From 4</t>
  </si>
  <si>
    <t>Redirect P Calls To 1</t>
  </si>
  <si>
    <t>Redirect P Calls To 2</t>
  </si>
  <si>
    <t>Redirect P Calls To 3</t>
  </si>
  <si>
    <t>Redirect P Calls To 4</t>
  </si>
  <si>
    <t>Call_Inhibit_Redirect_Alt_2</t>
  </si>
  <si>
    <t>Channel_Parms</t>
  </si>
  <si>
    <t>Extra Maps Enable</t>
  </si>
  <si>
    <t>TOD Dim Enable</t>
  </si>
  <si>
    <t>Channels_Assignments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</si>
  <si>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</si>
  <si>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</si>
  <si>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</si>
  <si>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</si>
  <si>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</si>
  <si>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</si>
  <si>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</si>
  <si>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</si>
  <si>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</si>
  <si>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</si>
  <si>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</si>
  <si>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</si>
  <si>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</si>
  <si>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</si>
  <si>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</si>
  <si>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</si>
  <si>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</si>
  <si>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</si>
  <si>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</si>
  <si>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</si>
  <si>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</si>
  <si>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</si>
  <si>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</si>
  <si>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</si>
  <si>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</si>
  <si>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</si>
  <si>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</si>
  <si>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</si>
  <si>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</si>
  <si>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Channel 30</t>
  </si>
  <si>
    <t>Channel 31</t>
  </si>
  <si>
    <t>Channel 32</t>
  </si>
  <si>
    <t>Alt Hz</t>
  </si>
  <si>
    <t>Dimming Cyc</t>
  </si>
  <si>
    <t>Dimming Green</t>
  </si>
  <si>
    <t>Dimming Red</t>
  </si>
  <si>
    <t>Dimming Yellow</t>
  </si>
  <si>
    <t>PH/OLP #</t>
  </si>
  <si>
    <t>Channels_Assignments_Plus</t>
  </si>
  <si>
    <t>Color Flash Rate</t>
  </si>
  <si>
    <t>Flash Green</t>
  </si>
  <si>
    <t>Inh Red Flash in Preempt</t>
  </si>
  <si>
    <t>Override Type</t>
  </si>
  <si>
    <t>Console_Parms</t>
  </si>
  <si>
    <t>Ada Button time</t>
  </si>
  <si>
    <t>Aux Switch Function</t>
  </si>
  <si>
    <t>Console Options</t>
  </si>
  <si>
    <t>Error Logging</t>
  </si>
  <si>
    <t>FYA Inhibit RedStart</t>
  </si>
  <si>
    <t>Security Delay</t>
  </si>
  <si>
    <t>Coord_External_IO</t>
  </si>
  <si>
    <t>Pattern 1</t>
  </si>
  <si>
    <t>Pattern 2</t>
  </si>
  <si>
    <t>Pattern 3</t>
  </si>
  <si>
    <t>Pattern 4</t>
  </si>
  <si>
    <t>Pattern 5</t>
  </si>
  <si>
    <t>Pattern 6</t>
  </si>
  <si>
    <t>Pattern 7</t>
  </si>
  <si>
    <t>Pattern 8</t>
  </si>
  <si>
    <t>Pattern 9</t>
  </si>
  <si>
    <t>Pattern 10</t>
  </si>
  <si>
    <t>Pattern 11</t>
  </si>
  <si>
    <t>Pattern 12</t>
  </si>
  <si>
    <t>Pattern 13</t>
  </si>
  <si>
    <t>Pattern 14</t>
  </si>
  <si>
    <t>Pattern 15</t>
  </si>
  <si>
    <t>Pattern 16</t>
  </si>
  <si>
    <t>Pattern 17</t>
  </si>
  <si>
    <t>Pattern 18</t>
  </si>
  <si>
    <t>Pattern 19</t>
  </si>
  <si>
    <t>Pattern 20</t>
  </si>
  <si>
    <t>Pattern 21</t>
  </si>
  <si>
    <t>Pattern 22</t>
  </si>
  <si>
    <t>Pattern 23</t>
  </si>
  <si>
    <t>Pattern 24</t>
  </si>
  <si>
    <t>Pattern 25</t>
  </si>
  <si>
    <t>Pattern 26</t>
  </si>
  <si>
    <t>Pattern 27</t>
  </si>
  <si>
    <t>Pattern 28</t>
  </si>
  <si>
    <t>Pattern 29</t>
  </si>
  <si>
    <t>Pattern 30</t>
  </si>
  <si>
    <t>Pattern 31</t>
  </si>
  <si>
    <t>Pattern 32</t>
  </si>
  <si>
    <t>Coordination_Parms</t>
  </si>
  <si>
    <t>Correction Mode</t>
  </si>
  <si>
    <t>Maximum Mode</t>
  </si>
  <si>
    <t>Coordination_Parms_Plus</t>
  </si>
  <si>
    <t>Auto Err Reset</t>
  </si>
  <si>
    <t>Closed Loop Active</t>
  </si>
  <si>
    <t>Coord Easy Float</t>
  </si>
  <si>
    <t>Coord NTCIP Yield Sign</t>
  </si>
  <si>
    <t>Free OnSeq Chang</t>
  </si>
  <si>
    <t>Latch Sec Foff</t>
  </si>
  <si>
    <t>Leave Walk After</t>
  </si>
  <si>
    <t>Leave Walk Before</t>
  </si>
  <si>
    <t>No Added Init</t>
  </si>
  <si>
    <t>Stop In Walk</t>
  </si>
  <si>
    <t>Walk Recycle</t>
  </si>
  <si>
    <t>Day_Plan_1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</si>
  <si>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</si>
  <si>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</si>
  <si>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</si>
  <si>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</si>
  <si>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</si>
  <si>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</si>
  <si>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</si>
  <si>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</si>
  <si>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</si>
  <si>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</si>
  <si>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</si>
  <si>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</si>
  <si>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</si>
  <si>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</si>
  <si>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Event 15</t>
  </si>
  <si>
    <t>Event 16</t>
  </si>
  <si>
    <t>Action</t>
  </si>
  <si>
    <t>Minute</t>
  </si>
  <si>
    <t>Day_Plan_2</t>
  </si>
  <si>
    <t>Day_Plan_3</t>
  </si>
  <si>
    <t>Day_Plan_4</t>
  </si>
  <si>
    <t>Day_Plan_5</t>
  </si>
  <si>
    <t>Day_Plan_6</t>
  </si>
  <si>
    <t>Day_Plan_7</t>
  </si>
  <si>
    <t>Day_Plan_8</t>
  </si>
  <si>
    <t>Day_Plan_9</t>
  </si>
  <si>
    <t>Day_Plan_10</t>
  </si>
  <si>
    <t>Day_Plan_11</t>
  </si>
  <si>
    <t>Day_Plan_12</t>
  </si>
  <si>
    <t>Day_Plan_13</t>
  </si>
  <si>
    <t>Day_Plan_14</t>
  </si>
  <si>
    <t>Day_Plan_15</t>
  </si>
  <si>
    <t>Day_Plan_16</t>
  </si>
  <si>
    <t>Day_Plan_17</t>
  </si>
  <si>
    <t>Day_Plan_18</t>
  </si>
  <si>
    <t>Day_Plan_19</t>
  </si>
  <si>
    <t>Day_Plan_20</t>
  </si>
  <si>
    <t>Day_Plan_21</t>
  </si>
  <si>
    <t>Day_Plan_22</t>
  </si>
  <si>
    <t>Day_Plan_23</t>
  </si>
  <si>
    <t>Day_Plan_24</t>
  </si>
  <si>
    <t>Day_Plan_25</t>
  </si>
  <si>
    <t>Day_Plan_26</t>
  </si>
  <si>
    <t>Day_Plan_27</t>
  </si>
  <si>
    <t>Day_Plan_28</t>
  </si>
  <si>
    <t>Day_Plan_29</t>
  </si>
  <si>
    <t>Day_Plan_30</t>
  </si>
  <si>
    <t>Day_Plan_31</t>
  </si>
  <si>
    <t>Day_Plan_32</t>
  </si>
  <si>
    <t>Day_Plan_Link</t>
  </si>
  <si>
    <t>Link 1</t>
  </si>
  <si>
    <t>Link 2</t>
  </si>
  <si>
    <t>Link 3</t>
  </si>
  <si>
    <t>Link 4</t>
  </si>
  <si>
    <t>Link 5</t>
  </si>
  <si>
    <t>Link 6</t>
  </si>
  <si>
    <t>Link 7</t>
  </si>
  <si>
    <t>Link 8</t>
  </si>
  <si>
    <t>Link 9</t>
  </si>
  <si>
    <t>Link 10</t>
  </si>
  <si>
    <t>Link 11</t>
  </si>
  <si>
    <t>Link 12</t>
  </si>
  <si>
    <t>Link 13</t>
  </si>
  <si>
    <t>Link 14</t>
  </si>
  <si>
    <t>Link 15</t>
  </si>
  <si>
    <t>Link 16</t>
  </si>
  <si>
    <t>Link 17</t>
  </si>
  <si>
    <t>Link 18</t>
  </si>
  <si>
    <t>Link 19</t>
  </si>
  <si>
    <t>Link 20</t>
  </si>
  <si>
    <t>Link 21</t>
  </si>
  <si>
    <t>Link 22</t>
  </si>
  <si>
    <t>Link 23</t>
  </si>
  <si>
    <t>Link 24</t>
  </si>
  <si>
    <t>Link 25</t>
  </si>
  <si>
    <t>Link 26</t>
  </si>
  <si>
    <t>Link 27</t>
  </si>
  <si>
    <t>Link 28</t>
  </si>
  <si>
    <t>Link 29</t>
  </si>
  <si>
    <t>Link 30</t>
  </si>
  <si>
    <t>Link 31</t>
  </si>
  <si>
    <t>Link 32</t>
  </si>
  <si>
    <t>DCS</t>
  </si>
  <si>
    <t>DCS 1</t>
  </si>
  <si>
    <t>DCS 2</t>
  </si>
  <si>
    <t>DCS 3</t>
  </si>
  <si>
    <t>DCS 4</t>
  </si>
  <si>
    <t>DCS 5</t>
  </si>
  <si>
    <t>DCS 6</t>
  </si>
  <si>
    <t>DCS 7</t>
  </si>
  <si>
    <t>DCS 8</t>
  </si>
  <si>
    <t>Max Len</t>
  </si>
  <si>
    <t>Max Speed</t>
  </si>
  <si>
    <t>Speed Trap</t>
  </si>
  <si>
    <t>Stage Percent</t>
  </si>
  <si>
    <t>Trap Distance</t>
  </si>
  <si>
    <t>Zone Arrival Time</t>
  </si>
  <si>
    <t>Zone Exit Time</t>
  </si>
  <si>
    <t>Detector_Parms</t>
  </si>
  <si>
    <t>TS2 Det Faults</t>
  </si>
  <si>
    <t>Vol/Occ Period Minutes</t>
  </si>
  <si>
    <t>Vol/Occ Period Seconds</t>
  </si>
  <si>
    <t>Emergency</t>
  </si>
  <si>
    <t>Emergency 1</t>
  </si>
  <si>
    <t>Emergency 2</t>
  </si>
  <si>
    <t>Emergency 3</t>
  </si>
  <si>
    <t>Emergency 4</t>
  </si>
  <si>
    <t>Emergency 5</t>
  </si>
  <si>
    <t>Emergency 6</t>
  </si>
  <si>
    <t>Emergency 7</t>
  </si>
  <si>
    <t>Emergency 8</t>
  </si>
  <si>
    <t>Emergency 9</t>
  </si>
  <si>
    <t>Emergency 10</t>
  </si>
  <si>
    <t>Emergency 11</t>
  </si>
  <si>
    <t>Emergency 12</t>
  </si>
  <si>
    <t>Cycle Adjust</t>
  </si>
  <si>
    <t>Hold Window</t>
  </si>
  <si>
    <t>Max Adjust</t>
  </si>
  <si>
    <t>None Pri Max Adjust</t>
  </si>
  <si>
    <t>Preempt Number</t>
  </si>
  <si>
    <t>PriPhaseRing1</t>
  </si>
  <si>
    <t>PriPhaseRing2</t>
  </si>
  <si>
    <t>PriPhaseRing3</t>
  </si>
  <si>
    <t>PriPhaseRing4</t>
  </si>
  <si>
    <t>Enable_Alarms</t>
  </si>
  <si>
    <t>Alarm 7</t>
  </si>
  <si>
    <t>Alarm 8</t>
  </si>
  <si>
    <t>Alarm 9</t>
  </si>
  <si>
    <t>Alarm 10</t>
  </si>
  <si>
    <t>Alarm 11</t>
  </si>
  <si>
    <t>Alarm 12</t>
  </si>
  <si>
    <t>Alarm 13</t>
  </si>
  <si>
    <t>Alarm 14</t>
  </si>
  <si>
    <t>Alarm 15</t>
  </si>
  <si>
    <t>Alarm 16</t>
  </si>
  <si>
    <t>Alarm 17</t>
  </si>
  <si>
    <t>Alarm 18</t>
  </si>
  <si>
    <t>Alarm 19</t>
  </si>
  <si>
    <t>Alarm 20</t>
  </si>
  <si>
    <t>Alarm 21</t>
  </si>
  <si>
    <t>Alarm 22</t>
  </si>
  <si>
    <t>Alarm 23</t>
  </si>
  <si>
    <t>Alarm 24</t>
  </si>
  <si>
    <t>Alarm 25</t>
  </si>
  <si>
    <t>Alarm 26</t>
  </si>
  <si>
    <t>Alarm 27</t>
  </si>
  <si>
    <t>Alarm 28</t>
  </si>
  <si>
    <t>Alarm 29</t>
  </si>
  <si>
    <t>Alarm 30</t>
  </si>
  <si>
    <t>Alarm 31</t>
  </si>
  <si>
    <t>Alarm 32</t>
  </si>
  <si>
    <t>Alarm 33</t>
  </si>
  <si>
    <t>Alarm 34</t>
  </si>
  <si>
    <t>Alarm 35</t>
  </si>
  <si>
    <t>Alarm 36</t>
  </si>
  <si>
    <t>Alarm 37</t>
  </si>
  <si>
    <t>Alarm 38</t>
  </si>
  <si>
    <t>Alarm 39</t>
  </si>
  <si>
    <t>Alarm 40</t>
  </si>
  <si>
    <t>Alarm 41</t>
  </si>
  <si>
    <t>Alarm 42</t>
  </si>
  <si>
    <t>Alarm 43</t>
  </si>
  <si>
    <t>Alarm 44</t>
  </si>
  <si>
    <t>Alarm 45</t>
  </si>
  <si>
    <t>Alarm 46</t>
  </si>
  <si>
    <t>Alarm 47</t>
  </si>
  <si>
    <t>Alarm 48</t>
  </si>
  <si>
    <t>Alarm 49</t>
  </si>
  <si>
    <t>Alarm 50</t>
  </si>
  <si>
    <t>Alarm 51</t>
  </si>
  <si>
    <t>Alarm 52</t>
  </si>
  <si>
    <t>Alarm 53</t>
  </si>
  <si>
    <t>Alarm 54</t>
  </si>
  <si>
    <t>Alarm 55</t>
  </si>
  <si>
    <t>Alarm 56</t>
  </si>
  <si>
    <t>Alarm 57</t>
  </si>
  <si>
    <t>Alarm 58</t>
  </si>
  <si>
    <t>Alarm 59</t>
  </si>
  <si>
    <t>Alarm 60</t>
  </si>
  <si>
    <t>Alarm 61</t>
  </si>
  <si>
    <t>Alarm 62</t>
  </si>
  <si>
    <t>Alarm 63</t>
  </si>
  <si>
    <t>Alarm 64</t>
  </si>
  <si>
    <t>Alarm 65</t>
  </si>
  <si>
    <t>Alarm 66</t>
  </si>
  <si>
    <t>Alarm 67</t>
  </si>
  <si>
    <t>Alarm 68</t>
  </si>
  <si>
    <t>Alarm 69</t>
  </si>
  <si>
    <t>Alarm 70</t>
  </si>
  <si>
    <t>Alarm 71</t>
  </si>
  <si>
    <t>Alarm 72</t>
  </si>
  <si>
    <t>Alarm 73</t>
  </si>
  <si>
    <t>Alarm 74</t>
  </si>
  <si>
    <t>Alarm 75</t>
  </si>
  <si>
    <t>Alarm 76</t>
  </si>
  <si>
    <t>Alarm 77</t>
  </si>
  <si>
    <t>Alarm 78</t>
  </si>
  <si>
    <t>Alarm 79</t>
  </si>
  <si>
    <t>Alarm 80</t>
  </si>
  <si>
    <t>Alarm 81</t>
  </si>
  <si>
    <t>Alarm 82</t>
  </si>
  <si>
    <t>Alarm 83</t>
  </si>
  <si>
    <t>Alarm 84</t>
  </si>
  <si>
    <t>Alarm 85</t>
  </si>
  <si>
    <t>Alarm 86</t>
  </si>
  <si>
    <t>Alarm 87</t>
  </si>
  <si>
    <t>Alarm 88</t>
  </si>
  <si>
    <t>Alarm 89</t>
  </si>
  <si>
    <t>Alarm 90</t>
  </si>
  <si>
    <t>Alarm 91</t>
  </si>
  <si>
    <t>Alarm 92</t>
  </si>
  <si>
    <t>Alarm 93</t>
  </si>
  <si>
    <t>Alarm 94</t>
  </si>
  <si>
    <t>Alarm 95</t>
  </si>
  <si>
    <t>Alarm 96</t>
  </si>
  <si>
    <t>Alarm 97</t>
  </si>
  <si>
    <t>Alarm 98</t>
  </si>
  <si>
    <t>Alarm 99</t>
  </si>
  <si>
    <t>Alarm 100</t>
  </si>
  <si>
    <t>Alarm 101</t>
  </si>
  <si>
    <t>Alarm 102</t>
  </si>
  <si>
    <t>Alarm 103</t>
  </si>
  <si>
    <t>Alarm 104</t>
  </si>
  <si>
    <t>Alarm 105</t>
  </si>
  <si>
    <t>Alarm 106</t>
  </si>
  <si>
    <t>Alarm 107</t>
  </si>
  <si>
    <t>Alarm 108</t>
  </si>
  <si>
    <t>Alarm 109</t>
  </si>
  <si>
    <t>Alarm 110</t>
  </si>
  <si>
    <t>Alarm 111</t>
  </si>
  <si>
    <t>Alarm 112</t>
  </si>
  <si>
    <t>Alarm 113</t>
  </si>
  <si>
    <t>Alarm 114</t>
  </si>
  <si>
    <t>Alarm 115</t>
  </si>
  <si>
    <t>Alarm 116</t>
  </si>
  <si>
    <t>Alarm 117</t>
  </si>
  <si>
    <t>Alarm 118</t>
  </si>
  <si>
    <t>Alarm 119</t>
  </si>
  <si>
    <t>Alarm 120</t>
  </si>
  <si>
    <t>Alarm 121</t>
  </si>
  <si>
    <t>Alarm 122</t>
  </si>
  <si>
    <t>Alarm 123</t>
  </si>
  <si>
    <t>Alarm 124</t>
  </si>
  <si>
    <t>Alarm 125</t>
  </si>
  <si>
    <t>Alarm 126</t>
  </si>
  <si>
    <t>Alarm 127</t>
  </si>
  <si>
    <t>Alarm 128</t>
  </si>
  <si>
    <t>Alarm Enable</t>
  </si>
  <si>
    <t>Enable_Events</t>
  </si>
  <si>
    <t>Event 17</t>
  </si>
  <si>
    <t>Event 18</t>
  </si>
  <si>
    <t>Event 19</t>
  </si>
  <si>
    <t>Event 20</t>
  </si>
  <si>
    <t>Event 21</t>
  </si>
  <si>
    <t>Event 22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</si>
  <si>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</si>
  <si>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</si>
  <si>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</si>
  <si>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</si>
  <si>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</si>
  <si>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</si>
  <si>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</si>
  <si>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</si>
  <si>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</si>
  <si>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</si>
  <si>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</si>
  <si>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Event 34</t>
  </si>
  <si>
    <t>Event 35</t>
  </si>
  <si>
    <t>Event 36</t>
  </si>
  <si>
    <t>Event 37</t>
  </si>
  <si>
    <t>Event 38</t>
  </si>
  <si>
    <t>Event 39</t>
  </si>
  <si>
    <t>Event 40</t>
  </si>
  <si>
    <t>Event 41</t>
  </si>
  <si>
    <t>Event 42</t>
  </si>
  <si>
    <t>Event 43</t>
  </si>
  <si>
    <t>Event 44</t>
  </si>
  <si>
    <t>Event 45</t>
  </si>
  <si>
    <t>Event 46</t>
  </si>
  <si>
    <t>Event 47</t>
  </si>
  <si>
    <t>Event 48</t>
  </si>
  <si>
    <t>Event 49</t>
  </si>
  <si>
    <t>Event 50</t>
  </si>
  <si>
    <t>Event 51</t>
  </si>
  <si>
    <t>Event 52</t>
  </si>
  <si>
    <t>Event 53</t>
  </si>
  <si>
    <t>Event 54</t>
  </si>
  <si>
    <t>Event 55</t>
  </si>
  <si>
    <t>Event 56</t>
  </si>
  <si>
    <t>Event 57</t>
  </si>
  <si>
    <t>Event 58</t>
  </si>
  <si>
    <t>Event 59</t>
  </si>
  <si>
    <t>Event 60</t>
  </si>
  <si>
    <t>Event 61</t>
  </si>
  <si>
    <t>Event 62</t>
  </si>
  <si>
    <t>Event 63</t>
  </si>
  <si>
    <t>Event 64</t>
  </si>
  <si>
    <t>Event 65</t>
  </si>
  <si>
    <t>Event 66</t>
  </si>
  <si>
    <t>Event 67</t>
  </si>
  <si>
    <t>Event 68</t>
  </si>
  <si>
    <t>Event 69</t>
  </si>
  <si>
    <t>Event 70</t>
  </si>
  <si>
    <t>Event 71</t>
  </si>
  <si>
    <t>Event 72</t>
  </si>
  <si>
    <t>Event 73</t>
  </si>
  <si>
    <t>Event 74</t>
  </si>
  <si>
    <t>Event 75</t>
  </si>
  <si>
    <t>Event 76</t>
  </si>
  <si>
    <t>Event 77</t>
  </si>
  <si>
    <t>Event 78</t>
  </si>
  <si>
    <t>Event 79</t>
  </si>
  <si>
    <t>Event 80</t>
  </si>
  <si>
    <t>Event 81</t>
  </si>
  <si>
    <t>Event 82</t>
  </si>
  <si>
    <t>Event 83</t>
  </si>
  <si>
    <t>Event 84</t>
  </si>
  <si>
    <t>Event 85</t>
  </si>
  <si>
    <t>Event 86</t>
  </si>
  <si>
    <t>Event 87</t>
  </si>
  <si>
    <t>Event 88</t>
  </si>
  <si>
    <t>Event 89</t>
  </si>
  <si>
    <t>Event 90</t>
  </si>
  <si>
    <t>Event 91</t>
  </si>
  <si>
    <t>Event 92</t>
  </si>
  <si>
    <t>Event 93</t>
  </si>
  <si>
    <t>Event 94</t>
  </si>
  <si>
    <t>Event 95</t>
  </si>
  <si>
    <t>Event 96</t>
  </si>
  <si>
    <t>Event 97</t>
  </si>
  <si>
    <t>Event 98</t>
  </si>
  <si>
    <t>Event 99</t>
  </si>
  <si>
    <t>Event 100</t>
  </si>
  <si>
    <t>Event 101</t>
  </si>
  <si>
    <t>Event 102</t>
  </si>
  <si>
    <t>Event 103</t>
  </si>
  <si>
    <t>Event 104</t>
  </si>
  <si>
    <t>Event 105</t>
  </si>
  <si>
    <t>Event 106</t>
  </si>
  <si>
    <t>Event 107</t>
  </si>
  <si>
    <t>Event 108</t>
  </si>
  <si>
    <t>Event 109</t>
  </si>
  <si>
    <t>Event 110</t>
  </si>
  <si>
    <t>Event 111</t>
  </si>
  <si>
    <t>Event 112</t>
  </si>
  <si>
    <t>Event 113</t>
  </si>
  <si>
    <t>Event 114</t>
  </si>
  <si>
    <t>Event 115</t>
  </si>
  <si>
    <t>Event 116</t>
  </si>
  <si>
    <t>Event 117</t>
  </si>
  <si>
    <t>Event 118</t>
  </si>
  <si>
    <t>Event 119</t>
  </si>
  <si>
    <t>Event 120</t>
  </si>
  <si>
    <t>Event 121</t>
  </si>
  <si>
    <t>Event 122</t>
  </si>
  <si>
    <t>Event 123</t>
  </si>
  <si>
    <t>Event 124</t>
  </si>
  <si>
    <t>Event 125</t>
  </si>
  <si>
    <t>Event 126</t>
  </si>
  <si>
    <t>Event 127</t>
  </si>
  <si>
    <t>Event 128</t>
  </si>
  <si>
    <t>Event Enable</t>
  </si>
  <si>
    <t>Event_Parms</t>
  </si>
  <si>
    <t>Access Event Enable</t>
  </si>
  <si>
    <t>Loc Pattern Event Enable</t>
  </si>
  <si>
    <t>Moe Event Enable</t>
  </si>
  <si>
    <t>Mon Flash Time Delay</t>
  </si>
  <si>
    <t>Preempt Event Enable</t>
  </si>
  <si>
    <t>TX Local Alarms</t>
  </si>
  <si>
    <t>User Assign Alarm 1</t>
  </si>
  <si>
    <t>User Assign Alarm 2</t>
  </si>
  <si>
    <t>General_Comm_Parms</t>
  </si>
  <si>
    <t>Alt Tel1</t>
  </si>
  <si>
    <t>Alt Tel10</t>
  </si>
  <si>
    <t>Alt Tel11</t>
  </si>
  <si>
    <t>Alt Tel12</t>
  </si>
  <si>
    <t>Alt Tel2</t>
  </si>
  <si>
    <t>Alt Tel3</t>
  </si>
  <si>
    <t>Alt Tel4</t>
  </si>
  <si>
    <t>Alt Tel5</t>
  </si>
  <si>
    <t>Alt Tel6</t>
  </si>
  <si>
    <t>Alt Tel7</t>
  </si>
  <si>
    <t>Alt Tel8</t>
  </si>
  <si>
    <t>Alt Tel9</t>
  </si>
  <si>
    <t>Backup Time</t>
  </si>
  <si>
    <t>Dial Time</t>
  </si>
  <si>
    <t>Group ID</t>
  </si>
  <si>
    <t>Idle Time</t>
  </si>
  <si>
    <t>Master ID</t>
  </si>
  <si>
    <t>Modem Enable</t>
  </si>
  <si>
    <t>Station ID</t>
  </si>
  <si>
    <t>Tele1</t>
  </si>
  <si>
    <t>Tele10</t>
  </si>
  <si>
    <t>Tele11</t>
  </si>
  <si>
    <t>Tele12</t>
  </si>
  <si>
    <t>Tele2</t>
  </si>
  <si>
    <t>Tele3</t>
  </si>
  <si>
    <t>Tele4</t>
  </si>
  <si>
    <t>Tele5</t>
  </si>
  <si>
    <t>Tele6</t>
  </si>
  <si>
    <t>Tele7</t>
  </si>
  <si>
    <t>Tele8</t>
  </si>
  <si>
    <t>Tele9</t>
  </si>
  <si>
    <t>IO_Logic</t>
  </si>
  <si>
    <t>IO Logic 1</t>
  </si>
  <si>
    <t>IO Logic 2</t>
  </si>
  <si>
    <t>IO Logic 3</t>
  </si>
  <si>
    <t>IO Logic 4</t>
  </si>
  <si>
    <t>IO Logic 5</t>
  </si>
  <si>
    <t>IO Logic 6</t>
  </si>
  <si>
    <t>IO Logic 7</t>
  </si>
  <si>
    <t>IO Logic 8</t>
  </si>
  <si>
    <t>IO Logic 9</t>
  </si>
  <si>
    <t>IO Logic 10</t>
  </si>
  <si>
    <t>IO Logic 11</t>
  </si>
  <si>
    <t>IO Logic 12</t>
  </si>
  <si>
    <t>IO Logic 13</t>
  </si>
  <si>
    <t>IO Logic 14</t>
  </si>
  <si>
    <t>IO Logic 15</t>
  </si>
  <si>
    <t>IO Logic 16</t>
  </si>
  <si>
    <t>IO Logic 17</t>
  </si>
  <si>
    <t>IO Logic 18</t>
  </si>
  <si>
    <t>IO Logic 19</t>
  </si>
  <si>
    <t>IO Logic 20</t>
  </si>
  <si>
    <t>Fun 1</t>
  </si>
  <si>
    <t>Fun 2</t>
  </si>
  <si>
    <t>Fun 3</t>
  </si>
  <si>
    <t>Operand 1 Invert</t>
  </si>
  <si>
    <t>Operand 1 IO</t>
  </si>
  <si>
    <t>Operand 1 Result</t>
  </si>
  <si>
    <t>Operand 2 Invert</t>
  </si>
  <si>
    <t>Operand 2 IO</t>
  </si>
  <si>
    <t>Operand 3 Invert</t>
  </si>
  <si>
    <t>Operand 3 IO</t>
  </si>
  <si>
    <t>Operator 1 Function</t>
  </si>
  <si>
    <t>Operator 2 Function</t>
  </si>
  <si>
    <t>Operator 3 Function</t>
  </si>
  <si>
    <t>Src 1</t>
  </si>
  <si>
    <t>Src 2</t>
  </si>
  <si>
    <t>Src 3</t>
  </si>
  <si>
    <t>Time Operator</t>
  </si>
  <si>
    <t>IO_Parms</t>
  </si>
  <si>
    <t>Alt T&amp;F Biu Map</t>
  </si>
  <si>
    <t>C1-C11-ABC IO Mode</t>
  </si>
  <si>
    <t>D Conn Mapping</t>
  </si>
  <si>
    <t>Invert Local Flash</t>
  </si>
  <si>
    <t>P2P Timeout</t>
  </si>
  <si>
    <t>Siu Cmu Map</t>
  </si>
  <si>
    <t>IP_Parameters</t>
  </si>
  <si>
    <t>IP Address 1</t>
  </si>
  <si>
    <t>IP Address 2</t>
  </si>
  <si>
    <t>IP Address 3</t>
  </si>
  <si>
    <t>IP Address 4</t>
  </si>
  <si>
    <t>IP Broadcast 1</t>
  </si>
  <si>
    <t>IP Broadcast 2</t>
  </si>
  <si>
    <t>IP Broadcast 3</t>
  </si>
  <si>
    <t>IP Broadcast 4</t>
  </si>
  <si>
    <t>IP Gateway 1</t>
  </si>
  <si>
    <t>IP Gateway 2</t>
  </si>
  <si>
    <t>IP Gateway 3</t>
  </si>
  <si>
    <t>IP Gateway 4</t>
  </si>
  <si>
    <t>IP Mask 1</t>
  </si>
  <si>
    <t>IP Mask 2</t>
  </si>
  <si>
    <t>IP Mask 3</t>
  </si>
  <si>
    <t>IP Mask 4</t>
  </si>
  <si>
    <t>IP Port</t>
  </si>
  <si>
    <t>ITS_Cab_Device</t>
  </si>
  <si>
    <t>SIU 1</t>
  </si>
  <si>
    <t>CMU 15</t>
  </si>
  <si>
    <t>CMU 16</t>
  </si>
  <si>
    <t>CMU 17</t>
  </si>
  <si>
    <t>FIO</t>
  </si>
  <si>
    <t>FIO Type</t>
  </si>
  <si>
    <t>Input 10</t>
  </si>
  <si>
    <t>Input 11</t>
  </si>
  <si>
    <t>Input 12</t>
  </si>
  <si>
    <t>Input 13</t>
  </si>
  <si>
    <t>Input 9</t>
  </si>
  <si>
    <t>Switch Pack 1</t>
  </si>
  <si>
    <t>Switch Pack 3</t>
  </si>
  <si>
    <t>Switch Pack 4</t>
  </si>
  <si>
    <t>Switch Pack 5</t>
  </si>
  <si>
    <t>Switch Pack 6</t>
  </si>
  <si>
    <t>Switch Pack 7</t>
  </si>
  <si>
    <t>Lane_Control_Plans</t>
  </si>
  <si>
    <t>Mode 1</t>
  </si>
  <si>
    <t>Mode 2</t>
  </si>
  <si>
    <t>Mode 3</t>
  </si>
  <si>
    <t>Mode 4</t>
  </si>
  <si>
    <t>Mode 5</t>
  </si>
  <si>
    <t>Mode 6</t>
  </si>
  <si>
    <t>Mode 7</t>
  </si>
  <si>
    <t>BOS A</t>
  </si>
  <si>
    <t>BOS B</t>
  </si>
  <si>
    <t>BOS C</t>
  </si>
  <si>
    <t>BOS D</t>
  </si>
  <si>
    <t>Clearance 1</t>
  </si>
  <si>
    <t>Duration</t>
  </si>
  <si>
    <t>LUS 1</t>
  </si>
  <si>
    <t>LUS 10</t>
  </si>
  <si>
    <t>LUS 2</t>
  </si>
  <si>
    <t>LUS 3</t>
  </si>
  <si>
    <t>LUS 4</t>
  </si>
  <si>
    <t>LUS 5</t>
  </si>
  <si>
    <t>LUS 6</t>
  </si>
  <si>
    <t>LUS 7</t>
  </si>
  <si>
    <t>LUS 8</t>
  </si>
  <si>
    <t>LUS 9</t>
  </si>
  <si>
    <t>Red 1</t>
  </si>
  <si>
    <t>MMU_Permissives</t>
  </si>
  <si>
    <t>MMU 1</t>
  </si>
  <si>
    <t>MMU 1 Channel 10</t>
  </si>
  <si>
    <t>MMU 1 Channel 11</t>
  </si>
  <si>
    <t>MMU 1 Channel 12</t>
  </si>
  <si>
    <t>MMU 1 Channel 13</t>
  </si>
  <si>
    <t>MMU 1 Channel 14</t>
  </si>
  <si>
    <t>MMU 1 Channel 15</t>
  </si>
  <si>
    <t>MMU 1 Channel 16</t>
  </si>
  <si>
    <t>MMU 1 Channel 2</t>
  </si>
  <si>
    <t>MMU 1 Channel 3</t>
  </si>
  <si>
    <t>MMU 1 Channel 4</t>
  </si>
  <si>
    <t>MMU 1 Channel 5</t>
  </si>
  <si>
    <t>MMU 1 Channel 6</t>
  </si>
  <si>
    <t>MMU 1 Channel 7</t>
  </si>
  <si>
    <t>MMU 1 Channel 8</t>
  </si>
  <si>
    <t>MMU 1 Channel 9</t>
  </si>
  <si>
    <t>MMU 10 Channel 11</t>
  </si>
  <si>
    <t>MMU 10 Channel 12</t>
  </si>
  <si>
    <t>MMU 10 Channel 13</t>
  </si>
  <si>
    <t>MMU 10 Channel 14</t>
  </si>
  <si>
    <t>MMU 10 Channel 15</t>
  </si>
  <si>
    <t>MMU 10 Channel 16</t>
  </si>
  <si>
    <t>MMU 11 Channel 12</t>
  </si>
  <si>
    <t>MMU 11 Channel 13</t>
  </si>
  <si>
    <t>MMU 11 Channel 14</t>
  </si>
  <si>
    <t>MMU 11 Channel 15</t>
  </si>
  <si>
    <t>MMU 11 Channel 16</t>
  </si>
  <si>
    <t>MMU 12 Channel 13</t>
  </si>
  <si>
    <t>MMU 12 Channel 14</t>
  </si>
  <si>
    <t>MMU 12 Channel 15</t>
  </si>
  <si>
    <t>MMU 12 Channel 16</t>
  </si>
  <si>
    <t>MMU 13 Channel 14</t>
  </si>
  <si>
    <t>MMU 13 Channel 15</t>
  </si>
  <si>
    <t>MMU 13 Channel 16</t>
  </si>
  <si>
    <t>MMU 14 Channel 15</t>
  </si>
  <si>
    <t>MMU 14 Channel 16</t>
  </si>
  <si>
    <t>MMU 15 Channel 16</t>
  </si>
  <si>
    <t>MMU 2 Channel 10</t>
  </si>
  <si>
    <t>MMU 2 Channel 11</t>
  </si>
  <si>
    <t>MMU 2 Channel 12</t>
  </si>
  <si>
    <t>MMU 2 Channel 13</t>
  </si>
  <si>
    <t>MMU 2 Channel 14</t>
  </si>
  <si>
    <t>MMU 2 Channel 15</t>
  </si>
  <si>
    <t>MMU 2 Channel 16</t>
  </si>
  <si>
    <t>MMU 2 Channel 3</t>
  </si>
  <si>
    <t>MMU 2 Channel 4</t>
  </si>
  <si>
    <t>MMU 2 Channel 5</t>
  </si>
  <si>
    <t>MMU 2 Channel 6</t>
  </si>
  <si>
    <t>MMU 2 Channel 7</t>
  </si>
  <si>
    <t>MMU 2 Channel 8</t>
  </si>
  <si>
    <t>MMU 2 Channel 9</t>
  </si>
  <si>
    <t>MMU 3 Channel 10</t>
  </si>
  <si>
    <t>MMU 3 Channel 11</t>
  </si>
  <si>
    <t>MMU 3 Channel 12</t>
  </si>
  <si>
    <t>MMU 3 Channel 13</t>
  </si>
  <si>
    <t>MMU 3 Channel 14</t>
  </si>
  <si>
    <t>MMU 3 Channel 15</t>
  </si>
  <si>
    <t>MMU 3 Channel 16</t>
  </si>
  <si>
    <t>MMU 3 Channel 4</t>
  </si>
  <si>
    <t>MMU 3 Channel 5</t>
  </si>
  <si>
    <t>MMU 3 Channel 6</t>
  </si>
  <si>
    <t>MMU 3 Channel 7</t>
  </si>
  <si>
    <t>MMU 3 Channel 8</t>
  </si>
  <si>
    <t>MMU 3 Channel 9</t>
  </si>
  <si>
    <t>MMU 4 Channel 10</t>
  </si>
  <si>
    <t>MMU 4 Channel 11</t>
  </si>
  <si>
    <t>MMU 4 Channel 12</t>
  </si>
  <si>
    <t>MMU 4 Channel 13</t>
  </si>
  <si>
    <t>MMU 4 Channel 14</t>
  </si>
  <si>
    <t>MMU 4 Channel 15</t>
  </si>
  <si>
    <t>MMU 4 Channel 16</t>
  </si>
  <si>
    <t>MMU 4 Channel 5</t>
  </si>
  <si>
    <t>MMU 4 Channel 6</t>
  </si>
  <si>
    <t>MMU 4 Channel 7</t>
  </si>
  <si>
    <t>MMU 4 Channel 8</t>
  </si>
  <si>
    <t>MMU 4 Channel 9</t>
  </si>
  <si>
    <t>MMU 5 Channel 10</t>
  </si>
  <si>
    <t>MMU 5 Channel 11</t>
  </si>
  <si>
    <t>MMU 5 Channel 12</t>
  </si>
  <si>
    <t>MMU 5 Channel 13</t>
  </si>
  <si>
    <t>MMU 5 Channel 14</t>
  </si>
  <si>
    <t>MMU 5 Channel 15</t>
  </si>
  <si>
    <t>MMU 5 Channel 16</t>
  </si>
  <si>
    <t>MMU 5 Channel 6</t>
  </si>
  <si>
    <t>MMU 5 Channel 7</t>
  </si>
  <si>
    <t>MMU 5 Channel 8</t>
  </si>
  <si>
    <t>MMU 5 Channel 9</t>
  </si>
  <si>
    <t>MMU 6 Channel 10</t>
  </si>
  <si>
    <t>MMU 6 Channel 11</t>
  </si>
  <si>
    <t>MMU 6 Channel 12</t>
  </si>
  <si>
    <t>MMU 6 Channel 13</t>
  </si>
  <si>
    <t>MMU 6 Channel 14</t>
  </si>
  <si>
    <t>MMU 6 Channel 15</t>
  </si>
  <si>
    <t>MMU 6 Channel 16</t>
  </si>
  <si>
    <t>MMU 6 Channel 7</t>
  </si>
  <si>
    <t>MMU 6 Channel 8</t>
  </si>
  <si>
    <t>MMU 6 Channel 9</t>
  </si>
  <si>
    <t>MMU 7 Channel 10</t>
  </si>
  <si>
    <t>MMU 7 Channel 11</t>
  </si>
  <si>
    <t>MMU 7 Channel 12</t>
  </si>
  <si>
    <t>MMU 7 Channel 13</t>
  </si>
  <si>
    <t>MMU 7 Channel 14</t>
  </si>
  <si>
    <t>MMU 7 Channel 15</t>
  </si>
  <si>
    <t>MMU 7 Channel 16</t>
  </si>
  <si>
    <t>MMU 7 Channel 8</t>
  </si>
  <si>
    <t>MMU 7 Channel 9</t>
  </si>
  <si>
    <t>MMU 8 Channel 10</t>
  </si>
  <si>
    <t>MMU 8 Channel 11</t>
  </si>
  <si>
    <t>MMU 8 Channel 12</t>
  </si>
  <si>
    <t>MMU 8 Channel 13</t>
  </si>
  <si>
    <t>MMU 8 Channel 14</t>
  </si>
  <si>
    <t>MMU 8 Channel 15</t>
  </si>
  <si>
    <t>MMU 8 Channel 16</t>
  </si>
  <si>
    <t>MMU 8 Channel 9</t>
  </si>
  <si>
    <t>MMU 9 Channel 10</t>
  </si>
  <si>
    <t>MMU 9 Channel 11</t>
  </si>
  <si>
    <t>MMU 9 Channel 12</t>
  </si>
  <si>
    <t>MMU 9 Channel 13</t>
  </si>
  <si>
    <t>MMU 9 Channel 14</t>
  </si>
  <si>
    <t>MMU 9 Channel 15</t>
  </si>
  <si>
    <t>MMU 9 Channel 16</t>
  </si>
  <si>
    <t>MMU_to_Controller_Mapping</t>
  </si>
  <si>
    <t>MMU 2</t>
  </si>
  <si>
    <t>MMU 3</t>
  </si>
  <si>
    <t>MMU 4</t>
  </si>
  <si>
    <t>MMU 5</t>
  </si>
  <si>
    <t>MMU 6</t>
  </si>
  <si>
    <t>MMU 7</t>
  </si>
  <si>
    <t>MMU 8</t>
  </si>
  <si>
    <t>MMU 9</t>
  </si>
  <si>
    <t>MMU 10</t>
  </si>
  <si>
    <t>MMU 11</t>
  </si>
  <si>
    <t>MMU 12</t>
  </si>
  <si>
    <t>MMU 13</t>
  </si>
  <si>
    <t>MMU 14</t>
  </si>
  <si>
    <t>MMU 15</t>
  </si>
  <si>
    <t>MMU 16</t>
  </si>
  <si>
    <t>MMU Channel</t>
  </si>
  <si>
    <t>Overlap_Alternate_1</t>
  </si>
  <si>
    <t>Overlap 1</t>
  </si>
  <si>
    <t>Overlap 2</t>
  </si>
  <si>
    <t>Overlap 3</t>
  </si>
  <si>
    <t>Overlap 4</t>
  </si>
  <si>
    <t>Conflict O1</t>
  </si>
  <si>
    <t>Conflict O2</t>
  </si>
  <si>
    <t>Conflict O3</t>
  </si>
  <si>
    <t>Conflict O4</t>
  </si>
  <si>
    <t>Conflict O5</t>
  </si>
  <si>
    <t>Conflict O6</t>
  </si>
  <si>
    <t>Conflict O7</t>
  </si>
  <si>
    <t>Conflict O8</t>
  </si>
  <si>
    <t>Conflict P1</t>
  </si>
  <si>
    <t>Conflict P2</t>
  </si>
  <si>
    <t>Conflict P3</t>
  </si>
  <si>
    <t>Conflict P4</t>
  </si>
  <si>
    <t>Conflict P5</t>
  </si>
  <si>
    <t>Conflict P6</t>
  </si>
  <si>
    <t>Conflict P7</t>
  </si>
  <si>
    <t>Conflict P8</t>
  </si>
  <si>
    <t>Conflict Ped 1</t>
  </si>
  <si>
    <t>Conflict Ped 2</t>
  </si>
  <si>
    <t>Conflict Ped 3</t>
  </si>
  <si>
    <t>Conflict Ped 4</t>
  </si>
  <si>
    <t>Conflict Ped 5</t>
  </si>
  <si>
    <t>Conflict Ped 6</t>
  </si>
  <si>
    <t>Conflict Ped 7</t>
  </si>
  <si>
    <t>Conflict Ped 8</t>
  </si>
  <si>
    <t>Green</t>
  </si>
  <si>
    <t>Included P1</t>
  </si>
  <si>
    <t>Included P2</t>
  </si>
  <si>
    <t>Included P3</t>
  </si>
  <si>
    <t>Included P4</t>
  </si>
  <si>
    <t>Included P5</t>
  </si>
  <si>
    <t>Included P6</t>
  </si>
  <si>
    <t>Included P7</t>
  </si>
  <si>
    <t>Included P8</t>
  </si>
  <si>
    <t>Modify P1</t>
  </si>
  <si>
    <t>Modify P2</t>
  </si>
  <si>
    <t>Modify P3</t>
  </si>
  <si>
    <t>Modify P4</t>
  </si>
  <si>
    <t>Modify P5</t>
  </si>
  <si>
    <t>Modify P6</t>
  </si>
  <si>
    <t>Modify P7</t>
  </si>
  <si>
    <t>Modify P8</t>
  </si>
  <si>
    <t>Overlap Number</t>
  </si>
  <si>
    <t>Overlap_Alternate_2</t>
  </si>
  <si>
    <t>Overlap_Alternate_3</t>
  </si>
  <si>
    <t>Overlap_Parms</t>
  </si>
  <si>
    <t>Conflict Lock</t>
  </si>
  <si>
    <t>Inh Lock interval</t>
  </si>
  <si>
    <t>Parent P Clrncs</t>
  </si>
  <si>
    <t>Overlap_Plus_Parms</t>
  </si>
  <si>
    <t>Extra Included Phases</t>
  </si>
  <si>
    <t>Overlap_Programming</t>
  </si>
  <si>
    <t>Overlap 5</t>
  </si>
  <si>
    <t>Overlap 6</t>
  </si>
  <si>
    <t>Overlap 7</t>
  </si>
  <si>
    <t>Overlap 8</t>
  </si>
  <si>
    <t>Overlap 9</t>
  </si>
  <si>
    <t>Overlap 10</t>
  </si>
  <si>
    <t>Overlap 11</t>
  </si>
  <si>
    <t>Overlap 12</t>
  </si>
  <si>
    <t>Overlap 13</t>
  </si>
  <si>
    <t>Overlap 14</t>
  </si>
  <si>
    <t>Overlap 15</t>
  </si>
  <si>
    <t>Overlap 16</t>
  </si>
  <si>
    <t>Overlap_Plus</t>
  </si>
  <si>
    <t>OverlapB_Plus</t>
  </si>
  <si>
    <t>FYA After Preempt</t>
  </si>
  <si>
    <t>FYA Delay</t>
  </si>
  <si>
    <t>FYA MCE Disable</t>
  </si>
  <si>
    <t>FYA Skip Red</t>
  </si>
  <si>
    <t>GrnExtInh 1</t>
  </si>
  <si>
    <t>GrnExtInh 2</t>
  </si>
  <si>
    <t>GrnExtInh 3</t>
  </si>
  <si>
    <t>GrnExtInh 4</t>
  </si>
  <si>
    <t>GrnExtInh 5</t>
  </si>
  <si>
    <t>GrnExtInh 6</t>
  </si>
  <si>
    <t>GrnExtInh 7</t>
  </si>
  <si>
    <t>GrnExtInh 8</t>
  </si>
  <si>
    <t>Leading Green</t>
  </si>
  <si>
    <t>Ped Clear Time</t>
  </si>
  <si>
    <t>Transit Input</t>
  </si>
  <si>
    <t>Pattern_B_Plus</t>
  </si>
  <si>
    <t>Pattern 33</t>
  </si>
  <si>
    <t>Pattern 34</t>
  </si>
  <si>
    <t>Pattern 35</t>
  </si>
  <si>
    <t>Pattern 36</t>
  </si>
  <si>
    <t>Pattern 37</t>
  </si>
  <si>
    <t>Pattern 38</t>
  </si>
  <si>
    <t>Pattern 39</t>
  </si>
  <si>
    <t>Pattern 40</t>
  </si>
  <si>
    <t>Pattern 41</t>
  </si>
  <si>
    <t>Pattern 42</t>
  </si>
  <si>
    <t>Pattern 43</t>
  </si>
  <si>
    <t>Pattern 44</t>
  </si>
  <si>
    <t>Pattern 45</t>
  </si>
  <si>
    <t>Pattern 46</t>
  </si>
  <si>
    <t>Pattern 47</t>
  </si>
  <si>
    <t>Pattern 48</t>
  </si>
  <si>
    <t>Yield Inhibit</t>
  </si>
  <si>
    <t>Pattern_Plus</t>
  </si>
  <si>
    <t>Call Inh</t>
  </si>
  <si>
    <t>CNA</t>
  </si>
  <si>
    <t>Det Grp</t>
  </si>
  <si>
    <t>Dia Mode</t>
  </si>
  <si>
    <t>Early Yield</t>
  </si>
  <si>
    <t>Float</t>
  </si>
  <si>
    <t>MI</t>
  </si>
  <si>
    <t>Min Ped Perm</t>
  </si>
  <si>
    <t>Min Veh Perm</t>
  </si>
  <si>
    <t>No Short P 1</t>
  </si>
  <si>
    <t>No Short P 2</t>
  </si>
  <si>
    <t>No Short P 3</t>
  </si>
  <si>
    <t>No Short P 4</t>
  </si>
  <si>
    <t>Olp Off 1</t>
  </si>
  <si>
    <t>Olp Off 2</t>
  </si>
  <si>
    <t>Olp Off 3</t>
  </si>
  <si>
    <t>Olp Off 4</t>
  </si>
  <si>
    <t>Olp Off 5</t>
  </si>
  <si>
    <t>Olp Off 6</t>
  </si>
  <si>
    <t>Olp Off 7</t>
  </si>
  <si>
    <t>Olp Off 8</t>
  </si>
  <si>
    <t>Percentage</t>
  </si>
  <si>
    <t>Ph Opt Table</t>
  </si>
  <si>
    <t>Ph Time Table</t>
  </si>
  <si>
    <t>Patterns</t>
  </si>
  <si>
    <t>Cycle Time</t>
  </si>
  <si>
    <t>Offset Time</t>
  </si>
  <si>
    <t>Seq Number</t>
  </si>
  <si>
    <t>Split Number</t>
  </si>
  <si>
    <t>Ped_Dets</t>
  </si>
  <si>
    <t>Call Phase</t>
  </si>
  <si>
    <t>Erratic Cnt</t>
  </si>
  <si>
    <t>Max Presence</t>
  </si>
  <si>
    <t>No Activity</t>
  </si>
  <si>
    <t>Ped_Dets_Alt_1</t>
  </si>
  <si>
    <t>Det Number</t>
  </si>
  <si>
    <t>Ped_Dets_Alt_2</t>
  </si>
  <si>
    <t>Ped_Dets_Alt_3</t>
  </si>
  <si>
    <t>Ped_Parms</t>
  </si>
  <si>
    <t>Peer</t>
  </si>
  <si>
    <t>Peer 1</t>
  </si>
  <si>
    <t>Peer 2</t>
  </si>
  <si>
    <t>Peer 3</t>
  </si>
  <si>
    <t>Peer 4</t>
  </si>
  <si>
    <t>Peer 5</t>
  </si>
  <si>
    <t>Peer 6</t>
  </si>
  <si>
    <t>Peer 7</t>
  </si>
  <si>
    <t>Peer 8</t>
  </si>
  <si>
    <t>Peer 9</t>
  </si>
  <si>
    <t>Peer 10</t>
  </si>
  <si>
    <t>Peer 11</t>
  </si>
  <si>
    <t>Peer 12</t>
  </si>
  <si>
    <t>Peer 13</t>
  </si>
  <si>
    <t>Peer 14</t>
  </si>
  <si>
    <t>Peer 15</t>
  </si>
  <si>
    <t>Poll Freq</t>
  </si>
  <si>
    <t>UDP Port</t>
  </si>
  <si>
    <t>Phase_Options_Alt_1</t>
  </si>
  <si>
    <t>Assign Phase</t>
  </si>
  <si>
    <t>Conflicting Phs1</t>
  </si>
  <si>
    <t>Conflicting Phs2</t>
  </si>
  <si>
    <t>Lock Call</t>
  </si>
  <si>
    <t>Non Act1</t>
  </si>
  <si>
    <t>Sim Gap Enable</t>
  </si>
  <si>
    <t>Phase_Options_Alt_2</t>
  </si>
  <si>
    <t>Phase_Options_Alt_3</t>
  </si>
  <si>
    <t>Phase_Options_Alt_4</t>
  </si>
  <si>
    <t>Phase_Options_Alt_5</t>
  </si>
  <si>
    <t>Phase_Options_Alt_6</t>
  </si>
  <si>
    <t>Phase_Options_Alt_7</t>
  </si>
  <si>
    <t>Phase_Options_Alt_8</t>
  </si>
  <si>
    <t>Phase_Times_Alt_1</t>
  </si>
  <si>
    <t>Gap Ext</t>
  </si>
  <si>
    <t>Max1</t>
  </si>
  <si>
    <t>Ped Clear</t>
  </si>
  <si>
    <t>Yellow Clr</t>
  </si>
  <si>
    <t>Phase_Times_Alt_2</t>
  </si>
  <si>
    <t>Phase_Times_Alt_3</t>
  </si>
  <si>
    <t>Phase_Times_and_Options</t>
  </si>
  <si>
    <t>Added Initial</t>
  </si>
  <si>
    <t>Cars Before Reduce</t>
  </si>
  <si>
    <t>Concur 1</t>
  </si>
  <si>
    <t>Concur 2</t>
  </si>
  <si>
    <t>Concur 3</t>
  </si>
  <si>
    <t>Concur 4</t>
  </si>
  <si>
    <t>Concur 5</t>
  </si>
  <si>
    <t>Concur 6</t>
  </si>
  <si>
    <t>Concur 7</t>
  </si>
  <si>
    <t>Concur 8</t>
  </si>
  <si>
    <t>Dynamic Max Limit</t>
  </si>
  <si>
    <t>Dynamic Max Step</t>
  </si>
  <si>
    <t>Startup</t>
  </si>
  <si>
    <t>Time Before Reduce</t>
  </si>
  <si>
    <t>Phase_Times_Plus</t>
  </si>
  <si>
    <t>Times+ 1</t>
  </si>
  <si>
    <t>Times+ 2</t>
  </si>
  <si>
    <t>Times+ 3</t>
  </si>
  <si>
    <t>Times+ 4</t>
  </si>
  <si>
    <t>Times+ 5</t>
  </si>
  <si>
    <t>Times+ 6</t>
  </si>
  <si>
    <t>Times+ 7</t>
  </si>
  <si>
    <t>Times+ 8</t>
  </si>
  <si>
    <t>Times+ 9</t>
  </si>
  <si>
    <t>Times+ 10</t>
  </si>
  <si>
    <t>Times+ 11</t>
  </si>
  <si>
    <t>Times+ 12</t>
  </si>
  <si>
    <t>Times+ 13</t>
  </si>
  <si>
    <t>Times+ 14</t>
  </si>
  <si>
    <t>Times+ 15</t>
  </si>
  <si>
    <t>Times+ 16</t>
  </si>
  <si>
    <t>Bike Clear</t>
  </si>
  <si>
    <t>Green Flash</t>
  </si>
  <si>
    <t>Safe Clear Min</t>
  </si>
  <si>
    <t>Safe Clear No Flash</t>
  </si>
  <si>
    <t>Phase_Times_Plus_Alt_1</t>
  </si>
  <si>
    <t>Phase_Times_Plus_Alt_2</t>
  </si>
  <si>
    <t>Phase_Times_Plus_Alt_3</t>
  </si>
  <si>
    <t>Phase_Times_Plus_and_Options_Plus</t>
  </si>
  <si>
    <t>Phase+ 1</t>
  </si>
  <si>
    <t>Phase+ 2</t>
  </si>
  <si>
    <t>Phase+ 3</t>
  </si>
  <si>
    <t>Phase+ 4</t>
  </si>
  <si>
    <t>Phase+ 5</t>
  </si>
  <si>
    <t>Phase+ 6</t>
  </si>
  <si>
    <t>Phase+ 7</t>
  </si>
  <si>
    <t>Phase+ 8</t>
  </si>
  <si>
    <t>Phase+ 9</t>
  </si>
  <si>
    <t>Phase+ 10</t>
  </si>
  <si>
    <t>Phase+ 11</t>
  </si>
  <si>
    <t>Phase+ 12</t>
  </si>
  <si>
    <t>Phase+ 13</t>
  </si>
  <si>
    <t>Phase+ 14</t>
  </si>
  <si>
    <t>Phase+ 15</t>
  </si>
  <si>
    <t>Phase+ 16</t>
  </si>
  <si>
    <t>Call Phs1</t>
  </si>
  <si>
    <t>Call Phs2</t>
  </si>
  <si>
    <t>Call Phs3</t>
  </si>
  <si>
    <t>Call Phs4</t>
  </si>
  <si>
    <t>Conflicting P</t>
  </si>
  <si>
    <t>Green Ped Delay Time</t>
  </si>
  <si>
    <t>Omit Yel</t>
  </si>
  <si>
    <t>Ped Clr Thru Yellow</t>
  </si>
  <si>
    <t>Ped Out</t>
  </si>
  <si>
    <t>Red Rest On Gap</t>
  </si>
  <si>
    <t>Skip Red-NoCall</t>
  </si>
  <si>
    <t>Start Yel</t>
  </si>
  <si>
    <t>Port_Bindings</t>
  </si>
  <si>
    <t>Functions 1</t>
  </si>
  <si>
    <t>GPS Channel</t>
  </si>
  <si>
    <t>Loop Det Channel</t>
  </si>
  <si>
    <t>OPTICOM Channel</t>
  </si>
  <si>
    <t>Shell Channel</t>
  </si>
  <si>
    <t>System Down Channel</t>
  </si>
  <si>
    <t>System Up Channel</t>
  </si>
  <si>
    <t>System Up Dial Time</t>
  </si>
  <si>
    <t>System Up Idle Time</t>
  </si>
  <si>
    <t>System Up Modem Enable</t>
  </si>
  <si>
    <t>TS2CVM Channel</t>
  </si>
  <si>
    <t>Port_Parameters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</si>
  <si>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</si>
  <si>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</si>
  <si>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</si>
  <si>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</si>
  <si>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</si>
  <si>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</si>
  <si>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</si>
  <si>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</si>
  <si>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Baud</t>
  </si>
  <si>
    <t>Preempt</t>
  </si>
  <si>
    <t>Preempt 1</t>
  </si>
  <si>
    <t>Preempt 2</t>
  </si>
  <si>
    <t>Preempt 3</t>
  </si>
  <si>
    <t>Preempt 4</t>
  </si>
  <si>
    <t>Preempt 5</t>
  </si>
  <si>
    <t>Preempt 6</t>
  </si>
  <si>
    <t>Dwell Cyc Ped1</t>
  </si>
  <si>
    <t>Dwell Cyc Ped2</t>
  </si>
  <si>
    <t>Dwell Cyc Ped3</t>
  </si>
  <si>
    <t>Dwell Cyc Ped4</t>
  </si>
  <si>
    <t>Dwell Cyc Ped5</t>
  </si>
  <si>
    <t>Dwell Cyc Ped6</t>
  </si>
  <si>
    <t>Dwell Cyc Ped8</t>
  </si>
  <si>
    <t>Dwell Cyc Veh 1</t>
  </si>
  <si>
    <t>Dwell Cyc Veh 10</t>
  </si>
  <si>
    <t>Dwell Cyc Veh 11</t>
  </si>
  <si>
    <t>Dwell Cyc Veh 12</t>
  </si>
  <si>
    <t>Dwell Cyc Veh 2</t>
  </si>
  <si>
    <t>Dwell Cyc Veh 3</t>
  </si>
  <si>
    <t>Dwell Cyc Veh 4</t>
  </si>
  <si>
    <t>Dwell Cyc Veh 5</t>
  </si>
  <si>
    <t>Dwell Cyc Veh 6</t>
  </si>
  <si>
    <t>Dwell Cyc Veh 7</t>
  </si>
  <si>
    <t>Dwell Cyc Veh 8</t>
  </si>
  <si>
    <t>Dwell Cyc Veh 9</t>
  </si>
  <si>
    <t>Dwell vPed7</t>
  </si>
  <si>
    <t>Exit 1</t>
  </si>
  <si>
    <t>Exit 2</t>
  </si>
  <si>
    <t>Exit 3</t>
  </si>
  <si>
    <t>Exit 4</t>
  </si>
  <si>
    <t>Flash in Dwell</t>
  </si>
  <si>
    <t>Link to Preempt</t>
  </si>
  <si>
    <t>Min Duration</t>
  </si>
  <si>
    <t>Min Walk</t>
  </si>
  <si>
    <t>Override Auto Flash</t>
  </si>
  <si>
    <t>Override Higher Preempt</t>
  </si>
  <si>
    <t>Track Green</t>
  </si>
  <si>
    <t>Track Veh 1</t>
  </si>
  <si>
    <t>Track Veh 2</t>
  </si>
  <si>
    <t>Track Veh 3</t>
  </si>
  <si>
    <t>Track Veh 4</t>
  </si>
  <si>
    <t>Preempt_7-12</t>
  </si>
  <si>
    <t>Preempt7-12 1</t>
  </si>
  <si>
    <t>Preempt7-12 2</t>
  </si>
  <si>
    <t>Preempt7-12 3</t>
  </si>
  <si>
    <t>Preempt7-12 4</t>
  </si>
  <si>
    <t>Preempt7-12 5</t>
  </si>
  <si>
    <t>Preempt7-12 6</t>
  </si>
  <si>
    <t>Dwell Cyc Ped7</t>
  </si>
  <si>
    <t>Dwell Cyc Veh1</t>
  </si>
  <si>
    <t>Dwell Cyc Veh10</t>
  </si>
  <si>
    <t>Dwell Cyc Veh11</t>
  </si>
  <si>
    <t>Dwell Cyc Veh12</t>
  </si>
  <si>
    <t>Dwell Cyc Veh2</t>
  </si>
  <si>
    <t>Dwell Cyc Veh3</t>
  </si>
  <si>
    <t>Dwell Cyc Veh4</t>
  </si>
  <si>
    <t>Dwell Cyc Veh5</t>
  </si>
  <si>
    <t>Dwell Cyc Veh6</t>
  </si>
  <si>
    <t>Dwell Cyc Veh7</t>
  </si>
  <si>
    <t>Dwell Cyc Veh8</t>
  </si>
  <si>
    <t>Dwell Cyc Veh9</t>
  </si>
  <si>
    <t>Track Veh1</t>
  </si>
  <si>
    <t>Track Veh2</t>
  </si>
  <si>
    <t>Track Veh3</t>
  </si>
  <si>
    <t>Track Veh4</t>
  </si>
  <si>
    <t>Preempt_AdvTimes_InitDwell</t>
  </si>
  <si>
    <t>Preempt AdvTimes 1</t>
  </si>
  <si>
    <t>Preempt AdvTimes 2</t>
  </si>
  <si>
    <t>Preempt AdvTimes 3</t>
  </si>
  <si>
    <t>Preempt AdvTimes 4</t>
  </si>
  <si>
    <t>Preempt AdvTimes 5</t>
  </si>
  <si>
    <t>Preempt AdvTimes 6</t>
  </si>
  <si>
    <t>All Red B4 Preempt</t>
  </si>
  <si>
    <t>End Dwell</t>
  </si>
  <si>
    <t>Enter Red Clear</t>
  </si>
  <si>
    <t>Enter Yellow Change</t>
  </si>
  <si>
    <t>Initial Dwell Overlap 1</t>
  </si>
  <si>
    <t>Initial Dwell Overlap 10</t>
  </si>
  <si>
    <t>Initial Dwell Overlap 11</t>
  </si>
  <si>
    <t>Initial Dwell Overlap 12</t>
  </si>
  <si>
    <t>Initial Dwell Overlap 13</t>
  </si>
  <si>
    <t>Initial Dwell Overlap 14</t>
  </si>
  <si>
    <t>Initial Dwell Overlap 15</t>
  </si>
  <si>
    <t>Initial Dwell Overlap 16</t>
  </si>
  <si>
    <t>Initial Dwell Overlap 2</t>
  </si>
  <si>
    <t>Initial Dwell Overlap 3</t>
  </si>
  <si>
    <t>Initial Dwell Overlap 4</t>
  </si>
  <si>
    <t>Initial Dwell Overlap 5</t>
  </si>
  <si>
    <t>Initial Dwell Overlap 6</t>
  </si>
  <si>
    <t>Initial Dwell Overlap 7</t>
  </si>
  <si>
    <t>Initial Dwell Overlap 8</t>
  </si>
  <si>
    <t>Initial Dwell Overlap 9</t>
  </si>
  <si>
    <t>Initial Dwell Phase 1</t>
  </si>
  <si>
    <t>Initial Dwell Phase 2</t>
  </si>
  <si>
    <t>Initial Dwell Phase 3</t>
  </si>
  <si>
    <t>Initial Dwell Phase 4</t>
  </si>
  <si>
    <t>Ped 1</t>
  </si>
  <si>
    <t>Ped 2</t>
  </si>
  <si>
    <t>Ped 3</t>
  </si>
  <si>
    <t>Ped 4</t>
  </si>
  <si>
    <t>Reservice Preempt</t>
  </si>
  <si>
    <t>Reset Ext Dwell</t>
  </si>
  <si>
    <t>Track Red Clear</t>
  </si>
  <si>
    <t>Track Yellow Change</t>
  </si>
  <si>
    <t>Preempt_AdvTimes_InitDwell_7-12</t>
  </si>
  <si>
    <t>Preempt AdvTimes7-12 1</t>
  </si>
  <si>
    <t>Preempt AdvTimes7-12 2</t>
  </si>
  <si>
    <t>Preempt AdvTimes7-12 3</t>
  </si>
  <si>
    <t>Preempt AdvTimes7-12 4</t>
  </si>
  <si>
    <t>Preempt AdvTimes7-12 5</t>
  </si>
  <si>
    <t>Preempt AdvTimes7-12 6</t>
  </si>
  <si>
    <t>ExitPedCalls 1</t>
  </si>
  <si>
    <t>ExitPedCalls 10</t>
  </si>
  <si>
    <t>ExitPedCalls 11</t>
  </si>
  <si>
    <t>ExitPedCalls 12</t>
  </si>
  <si>
    <t>ExitPedCalls 13</t>
  </si>
  <si>
    <t>ExitPedCalls 14</t>
  </si>
  <si>
    <t>ExitPedCalls 15</t>
  </si>
  <si>
    <t>ExitPedCalls 16</t>
  </si>
  <si>
    <t>ExitPedCalls 2</t>
  </si>
  <si>
    <t>ExitPedCalls 3</t>
  </si>
  <si>
    <t>ExitPedCalls 4</t>
  </si>
  <si>
    <t>ExitPedCalls 5</t>
  </si>
  <si>
    <t>ExitPedCalls 6</t>
  </si>
  <si>
    <t>ExitPedCalls 7</t>
  </si>
  <si>
    <t>ExitPedCalls 8</t>
  </si>
  <si>
    <t>ExitPedCalls 9</t>
  </si>
  <si>
    <t>ExitVehCalls 1</t>
  </si>
  <si>
    <t>ExitVehCalls 10</t>
  </si>
  <si>
    <t>ExitVehCalls 11</t>
  </si>
  <si>
    <t>ExitVehCalls 12</t>
  </si>
  <si>
    <t>ExitVehCalls 13</t>
  </si>
  <si>
    <t>ExitVehCalls 14</t>
  </si>
  <si>
    <t>ExitVehCalls 15</t>
  </si>
  <si>
    <t>ExitVehCalls 16</t>
  </si>
  <si>
    <t>ExitVehCalls 2</t>
  </si>
  <si>
    <t>ExitVehCalls 3</t>
  </si>
  <si>
    <t>ExitVehCalls 4</t>
  </si>
  <si>
    <t>ExitVehCalls 5</t>
  </si>
  <si>
    <t>ExitVehCalls 6</t>
  </si>
  <si>
    <t>ExitVehCalls 7</t>
  </si>
  <si>
    <t>ExitVehCalls 8</t>
  </si>
  <si>
    <t>ExitVehCalls 9</t>
  </si>
  <si>
    <t>Initial Dwell Ped 1</t>
  </si>
  <si>
    <t>Initial Dwell Ped 2</t>
  </si>
  <si>
    <t>Initial Dwell Ped 3</t>
  </si>
  <si>
    <t>Initial Dwell Ped 4</t>
  </si>
  <si>
    <t>Preempt_LP</t>
  </si>
  <si>
    <t>Alt Table</t>
  </si>
  <si>
    <t>Coord in Preempt</t>
  </si>
  <si>
    <t>Free Mode</t>
  </si>
  <si>
    <t>Group Lock</t>
  </si>
  <si>
    <t>Headway</t>
  </si>
  <si>
    <t>Lock Mode</t>
  </si>
  <si>
    <t>No Skip</t>
  </si>
  <si>
    <t>Priority P1</t>
  </si>
  <si>
    <t>Priority P2</t>
  </si>
  <si>
    <t>Priority P3</t>
  </si>
  <si>
    <t>Priority P4</t>
  </si>
  <si>
    <t>Queue Jump</t>
  </si>
  <si>
    <t>Preempt_Parms</t>
  </si>
  <si>
    <t>Cycle Fault Action</t>
  </si>
  <si>
    <t>EVP Ped Confirmations</t>
  </si>
  <si>
    <t>Invert Rail Input</t>
  </si>
  <si>
    <t>LPAlt Source</t>
  </si>
  <si>
    <t>Max Cycle Time</t>
  </si>
  <si>
    <t>Preempt_Plus</t>
  </si>
  <si>
    <t>Preempt+ 1</t>
  </si>
  <si>
    <t>Preempt+ 2</t>
  </si>
  <si>
    <t>Preempt+ 3</t>
  </si>
  <si>
    <t>Preempt+ 4</t>
  </si>
  <si>
    <t>Preempt+ 5</t>
  </si>
  <si>
    <t>Preempt+ 6</t>
  </si>
  <si>
    <t>DwellCyc Over 1</t>
  </si>
  <si>
    <t>DwellCyc Over 10</t>
  </si>
  <si>
    <t>DwellCyc Over 11</t>
  </si>
  <si>
    <t>DwellCyc Over 12</t>
  </si>
  <si>
    <t>DwellCyc Over 2</t>
  </si>
  <si>
    <t>DwellCyc Over 3</t>
  </si>
  <si>
    <t>DwellCyc Over 4</t>
  </si>
  <si>
    <t>DwellCyc Over 5</t>
  </si>
  <si>
    <t>DwellCyc Over 6</t>
  </si>
  <si>
    <t>DwellCyc Over 7</t>
  </si>
  <si>
    <t>DwellCyc Over 8</t>
  </si>
  <si>
    <t>DwellCyc Over 9</t>
  </si>
  <si>
    <t>Extend Dwell</t>
  </si>
  <si>
    <t>Output Mode</t>
  </si>
  <si>
    <t>Return Max/Min</t>
  </si>
  <si>
    <t>Skip Track</t>
  </si>
  <si>
    <t>Track Over 1</t>
  </si>
  <si>
    <t>Track Over 10</t>
  </si>
  <si>
    <t>Track Over 11</t>
  </si>
  <si>
    <t>Track Over 12</t>
  </si>
  <si>
    <t>Track Over 2</t>
  </si>
  <si>
    <t>Track Over 3</t>
  </si>
  <si>
    <t>Track Over 4</t>
  </si>
  <si>
    <t>Track Over 5</t>
  </si>
  <si>
    <t>Track Over 6</t>
  </si>
  <si>
    <t>Track Over 7</t>
  </si>
  <si>
    <t>Track Over 8</t>
  </si>
  <si>
    <t>Track Over 9</t>
  </si>
  <si>
    <t>Volt Mon Flash</t>
  </si>
  <si>
    <t>Preempt_Plus_7-12</t>
  </si>
  <si>
    <t>Preempt+7-12 1</t>
  </si>
  <si>
    <t>Preempt+7-12 2</t>
  </si>
  <si>
    <t>Preempt+7-12 3</t>
  </si>
  <si>
    <t>Preempt+7-12 4</t>
  </si>
  <si>
    <t>Preempt+7-12 5</t>
  </si>
  <si>
    <t>Preempt+7-12 6</t>
  </si>
  <si>
    <t>Preemption_Events</t>
  </si>
  <si>
    <t>Delay Time</t>
  </si>
  <si>
    <t>Hold Interval</t>
  </si>
  <si>
    <t>Interval 1</t>
  </si>
  <si>
    <t>Interval 10</t>
  </si>
  <si>
    <t>Interval 11</t>
  </si>
  <si>
    <t>Interval 12</t>
  </si>
  <si>
    <t>Interval 13</t>
  </si>
  <si>
    <t>Interval 14</t>
  </si>
  <si>
    <t>Interval 15</t>
  </si>
  <si>
    <t>Interval 16</t>
  </si>
  <si>
    <t>Interval 2</t>
  </si>
  <si>
    <t>Interval 3</t>
  </si>
  <si>
    <t>Interval 4</t>
  </si>
  <si>
    <t>Interval 5</t>
  </si>
  <si>
    <t>Interval 6</t>
  </si>
  <si>
    <t>Interval 7</t>
  </si>
  <si>
    <t>Interval 8</t>
  </si>
  <si>
    <t>Interval 9</t>
  </si>
  <si>
    <t>Linked Event</t>
  </si>
  <si>
    <t>Time 1</t>
  </si>
  <si>
    <t>Time 10</t>
  </si>
  <si>
    <t>Time 11</t>
  </si>
  <si>
    <t>Time 12</t>
  </si>
  <si>
    <t>Time 13</t>
  </si>
  <si>
    <t>Time 14</t>
  </si>
  <si>
    <t>Time 15</t>
  </si>
  <si>
    <t>Time 16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</si>
  <si>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</si>
  <si>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</si>
  <si>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</si>
  <si>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</si>
  <si>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</si>
  <si>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</si>
  <si>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</si>
  <si>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</si>
  <si>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Preemption_Sequences</t>
  </si>
  <si>
    <t>Sequence 1</t>
  </si>
  <si>
    <t>Sequence 2</t>
  </si>
  <si>
    <t>Sequence 3</t>
  </si>
  <si>
    <t>Sequence 4</t>
  </si>
  <si>
    <t>Sequence 5</t>
  </si>
  <si>
    <t>Sequence 6</t>
  </si>
  <si>
    <t>Sequence 7</t>
  </si>
  <si>
    <t>Sequence 8</t>
  </si>
  <si>
    <t>Sequence 9</t>
  </si>
  <si>
    <t>Sequence 10</t>
  </si>
  <si>
    <t>Sequence 11</t>
  </si>
  <si>
    <t>Sequence 12</t>
  </si>
  <si>
    <t>Sequence 13</t>
  </si>
  <si>
    <t>Sequence 14</t>
  </si>
  <si>
    <t>Sequence 15</t>
  </si>
  <si>
    <t>Sequence 16</t>
  </si>
  <si>
    <t>Sequence 17</t>
  </si>
  <si>
    <t>Sequence 18</t>
  </si>
  <si>
    <t>Sequence 19</t>
  </si>
  <si>
    <t>Sequence 20</t>
  </si>
  <si>
    <t>Sequence 21</t>
  </si>
  <si>
    <t>Sequence 22</t>
  </si>
  <si>
    <t>Sequence 23</t>
  </si>
  <si>
    <t>Sequence 24</t>
  </si>
  <si>
    <t>Sequence 25</t>
  </si>
  <si>
    <t>Sequence 26</t>
  </si>
  <si>
    <t>Sequence 27</t>
  </si>
  <si>
    <t>Sequence 28</t>
  </si>
  <si>
    <t>Sequence 29</t>
  </si>
  <si>
    <t>Sequence 30</t>
  </si>
  <si>
    <t>Sequence 31</t>
  </si>
  <si>
    <t>Sequence 32</t>
  </si>
  <si>
    <t>Adv Ph 1</t>
  </si>
  <si>
    <t>Adv Ph 10</t>
  </si>
  <si>
    <t>Adv Ph 11</t>
  </si>
  <si>
    <t>Adv Ph 12</t>
  </si>
  <si>
    <t>Adv Ph 13</t>
  </si>
  <si>
    <t>Adv Ph 14</t>
  </si>
  <si>
    <t>Adv Ph 15</t>
  </si>
  <si>
    <t>Adv Ph 16</t>
  </si>
  <si>
    <t>Adv Ph 2</t>
  </si>
  <si>
    <t>Adv Ph 3</t>
  </si>
  <si>
    <t>Adv Ph 4</t>
  </si>
  <si>
    <t>Adv Ph 5</t>
  </si>
  <si>
    <t>Adv Ph 6</t>
  </si>
  <si>
    <t>Adv Ph 7</t>
  </si>
  <si>
    <t>Adv Ph 8</t>
  </si>
  <si>
    <t>Adv Ph 9</t>
  </si>
  <si>
    <t>Force Off 1</t>
  </si>
  <si>
    <t>Force Off 10</t>
  </si>
  <si>
    <t>Force Off 11</t>
  </si>
  <si>
    <t>Force Off 12</t>
  </si>
  <si>
    <t>Force Off 13</t>
  </si>
  <si>
    <t>Force Off 14</t>
  </si>
  <si>
    <t>Force Off 15</t>
  </si>
  <si>
    <t>Force Off 16</t>
  </si>
  <si>
    <t>Force Off 2</t>
  </si>
  <si>
    <t>Force Off 3</t>
  </si>
  <si>
    <t>Force Off 4</t>
  </si>
  <si>
    <t>Force Off 5</t>
  </si>
  <si>
    <t>Force Off 6</t>
  </si>
  <si>
    <t>Force Off 7</t>
  </si>
  <si>
    <t>Force Off 8</t>
  </si>
  <si>
    <t>Force Off 9</t>
  </si>
  <si>
    <t>Hold Ph 1</t>
  </si>
  <si>
    <t>Hold Ph 10</t>
  </si>
  <si>
    <t>Hold Ph 11</t>
  </si>
  <si>
    <t>Hold Ph 12</t>
  </si>
  <si>
    <t>Hold Ph 13</t>
  </si>
  <si>
    <t>Hold Ph 14</t>
  </si>
  <si>
    <t>Hold Ph 15</t>
  </si>
  <si>
    <t>Hold Ph 16</t>
  </si>
  <si>
    <t>Hold Ph 2</t>
  </si>
  <si>
    <t>Hold Ph 3</t>
  </si>
  <si>
    <t>Hold Ph 4</t>
  </si>
  <si>
    <t>Hold Ph 5</t>
  </si>
  <si>
    <t>Hold Ph 6</t>
  </si>
  <si>
    <t>Hold Ph 7</t>
  </si>
  <si>
    <t>Hold Ph 8</t>
  </si>
  <si>
    <t>Hold Ph 9</t>
  </si>
  <si>
    <t>Olap Omit 1</t>
  </si>
  <si>
    <t>Olap Omit 10</t>
  </si>
  <si>
    <t>Olap Omit 11</t>
  </si>
  <si>
    <t>Olap Omit 12</t>
  </si>
  <si>
    <t>Olap Omit 13</t>
  </si>
  <si>
    <t>Olap Omit 14</t>
  </si>
  <si>
    <t>Olap Omit 15</t>
  </si>
  <si>
    <t>Olap Omit 16</t>
  </si>
  <si>
    <t>Olap Omit 2</t>
  </si>
  <si>
    <t>Olap Omit 3</t>
  </si>
  <si>
    <t>Olap Omit 4</t>
  </si>
  <si>
    <t>Olap Omit 5</t>
  </si>
  <si>
    <t>Olap Omit 6</t>
  </si>
  <si>
    <t>Olap Omit 7</t>
  </si>
  <si>
    <t>Olap Omit 8</t>
  </si>
  <si>
    <t>Olap Omit 9</t>
  </si>
  <si>
    <t>Ped Calls 1</t>
  </si>
  <si>
    <t>Ped Calls 10</t>
  </si>
  <si>
    <t>Ped Calls 11</t>
  </si>
  <si>
    <t>Ped Calls 12</t>
  </si>
  <si>
    <t>Ped Calls 13</t>
  </si>
  <si>
    <t>Ped Calls 14</t>
  </si>
  <si>
    <t>Ped Calls 15</t>
  </si>
  <si>
    <t>Ped Calls 16</t>
  </si>
  <si>
    <t>Ped Calls 2</t>
  </si>
  <si>
    <t>Ped Calls 3</t>
  </si>
  <si>
    <t>Ped Calls 4</t>
  </si>
  <si>
    <t>Ped Calls 5</t>
  </si>
  <si>
    <t>Ped Calls 6</t>
  </si>
  <si>
    <t>Ped Calls 7</t>
  </si>
  <si>
    <t>Ped Calls 8</t>
  </si>
  <si>
    <t>Ped Calls 9</t>
  </si>
  <si>
    <t>Ped Omit 1</t>
  </si>
  <si>
    <t>Ped Omit 10</t>
  </si>
  <si>
    <t>Ped Omit 11</t>
  </si>
  <si>
    <t>Ped Omit 12</t>
  </si>
  <si>
    <t>Ped Omit 13</t>
  </si>
  <si>
    <t>Ped Omit 14</t>
  </si>
  <si>
    <t>Ped Omit 15</t>
  </si>
  <si>
    <t>Ped Omit 16</t>
  </si>
  <si>
    <t>Ped Omit 2</t>
  </si>
  <si>
    <t>Ped Omit 3</t>
  </si>
  <si>
    <t>Ped Omit 4</t>
  </si>
  <si>
    <t>Ped Omit 5</t>
  </si>
  <si>
    <t>Ped Omit 6</t>
  </si>
  <si>
    <t>Ped Omit 7</t>
  </si>
  <si>
    <t>Ped Omit 8</t>
  </si>
  <si>
    <t>Ped Omit 9</t>
  </si>
  <si>
    <t>Ph Omit 1</t>
  </si>
  <si>
    <t>Ph Omit 10</t>
  </si>
  <si>
    <t>Ph Omit 11</t>
  </si>
  <si>
    <t>Ph Omit 12</t>
  </si>
  <si>
    <t>Ph Omit 13</t>
  </si>
  <si>
    <t>Ph Omit 14</t>
  </si>
  <si>
    <t>Ph Omit 15</t>
  </si>
  <si>
    <t>Ph Omit 16</t>
  </si>
  <si>
    <t>Ph Omit 2</t>
  </si>
  <si>
    <t>Ph Omit 3</t>
  </si>
  <si>
    <t>Ph Omit 4</t>
  </si>
  <si>
    <t>Ph Omit 5</t>
  </si>
  <si>
    <t>Ph Omit 6</t>
  </si>
  <si>
    <t>Ph Omit 7</t>
  </si>
  <si>
    <t>Ph Omit 8</t>
  </si>
  <si>
    <t>Ph Omit 9</t>
  </si>
  <si>
    <t>Spec Func 1</t>
  </si>
  <si>
    <t>Spec Func 10</t>
  </si>
  <si>
    <t>Spec Func 11</t>
  </si>
  <si>
    <t>Spec Func 12</t>
  </si>
  <si>
    <t>Spec Func 13</t>
  </si>
  <si>
    <t>Spec Func 14</t>
  </si>
  <si>
    <t>Spec Func 15</t>
  </si>
  <si>
    <t>Spec Func 16</t>
  </si>
  <si>
    <t>Spec Func 2</t>
  </si>
  <si>
    <t>Spec Func 3</t>
  </si>
  <si>
    <t>Spec Func 4</t>
  </si>
  <si>
    <t>Spec Func 5</t>
  </si>
  <si>
    <t>Spec Func 6</t>
  </si>
  <si>
    <t>Spec Func 7</t>
  </si>
  <si>
    <t>Spec Func 8</t>
  </si>
  <si>
    <t>Spec Func 9</t>
  </si>
  <si>
    <t>Start Ph 1</t>
  </si>
  <si>
    <t>Start Ph 10</t>
  </si>
  <si>
    <t>Start Ph 11</t>
  </si>
  <si>
    <t>Start Ph 12</t>
  </si>
  <si>
    <t>Start Ph 13</t>
  </si>
  <si>
    <t>Start Ph 14</t>
  </si>
  <si>
    <t>Start Ph 15</t>
  </si>
  <si>
    <t>Start Ph 16</t>
  </si>
  <si>
    <t>Start Ph 2</t>
  </si>
  <si>
    <t>Start Ph 3</t>
  </si>
  <si>
    <t>Start Ph 4</t>
  </si>
  <si>
    <t>Start Ph 5</t>
  </si>
  <si>
    <t>Start Ph 6</t>
  </si>
  <si>
    <t>Start Ph 7</t>
  </si>
  <si>
    <t>Start Ph 8</t>
  </si>
  <si>
    <t>Start Ph 9</t>
  </si>
  <si>
    <t>Veh Calls 1</t>
  </si>
  <si>
    <t>Veh Calls 10</t>
  </si>
  <si>
    <t>Veh Calls 11</t>
  </si>
  <si>
    <t>Veh Calls 12</t>
  </si>
  <si>
    <t>Veh Calls 13</t>
  </si>
  <si>
    <t>Veh Calls 14</t>
  </si>
  <si>
    <t>Veh Calls 15</t>
  </si>
  <si>
    <t>Veh Calls 16</t>
  </si>
  <si>
    <t>Veh Calls 2</t>
  </si>
  <si>
    <t>Veh Calls 3</t>
  </si>
  <si>
    <t>Veh Calls 4</t>
  </si>
  <si>
    <t>Veh Calls 5</t>
  </si>
  <si>
    <t>Veh Calls 6</t>
  </si>
  <si>
    <t>Veh Calls 7</t>
  </si>
  <si>
    <t>Veh Calls 8</t>
  </si>
  <si>
    <t>Veh Calls 9</t>
  </si>
  <si>
    <t>Purdue</t>
  </si>
  <si>
    <t>Purdue 1</t>
  </si>
  <si>
    <t>Cabinet</t>
  </si>
  <si>
    <t>Colors</t>
  </si>
  <si>
    <t>Control</t>
  </si>
  <si>
    <t>Coordination</t>
  </si>
  <si>
    <t>Detectors</t>
  </si>
  <si>
    <t>Enable Logging</t>
  </si>
  <si>
    <t>History Limit</t>
  </si>
  <si>
    <t>Max Log Duration</t>
  </si>
  <si>
    <t>Max Log Size</t>
  </si>
  <si>
    <t>Overlaps</t>
  </si>
  <si>
    <t>Preempts</t>
  </si>
  <si>
    <t>Resync Freq</t>
  </si>
  <si>
    <t>Ring_Input_Map</t>
  </si>
  <si>
    <t>Ring 1</t>
  </si>
  <si>
    <t>Ring 2</t>
  </si>
  <si>
    <t>Ring 3</t>
  </si>
  <si>
    <t>Ring 4</t>
  </si>
  <si>
    <t>Input Map</t>
  </si>
  <si>
    <t>Ring_Sequences_1</t>
  </si>
  <si>
    <t>Ring P1</t>
  </si>
  <si>
    <t>Ring P2</t>
  </si>
  <si>
    <t>Ring P3</t>
  </si>
  <si>
    <t>Ring P4</t>
  </si>
  <si>
    <t>Ring P5</t>
  </si>
  <si>
    <t>Ring P6</t>
  </si>
  <si>
    <t>Ring P7</t>
  </si>
  <si>
    <t>Ring P8</t>
  </si>
  <si>
    <t>Ring_Sequences_2</t>
  </si>
  <si>
    <t>Ring_Sequences_3</t>
  </si>
  <si>
    <t>Ring_Sequences_4</t>
  </si>
  <si>
    <t>Ring_Sequences_5</t>
  </si>
  <si>
    <t>Ring_Sequences_6</t>
  </si>
  <si>
    <t>Ring_Sequences_7</t>
  </si>
  <si>
    <t>Ring_Sequences_8</t>
  </si>
  <si>
    <t>Ring_Sequences_9</t>
  </si>
  <si>
    <t>Ring_Sequences_10</t>
  </si>
  <si>
    <t>Ring_Sequences_11</t>
  </si>
  <si>
    <t>Ring_Sequences_12</t>
  </si>
  <si>
    <t>Ring_Sequences_13</t>
  </si>
  <si>
    <t>Ring_Sequences_14</t>
  </si>
  <si>
    <t>Ring_Sequences_15</t>
  </si>
  <si>
    <t>Ring_Sequences_16</t>
  </si>
  <si>
    <t>SDLC_Devices</t>
  </si>
  <si>
    <t>Device 1</t>
  </si>
  <si>
    <t>Device 2</t>
  </si>
  <si>
    <t>Device 3</t>
  </si>
  <si>
    <t>Device 4</t>
  </si>
  <si>
    <t>Device 5</t>
  </si>
  <si>
    <t>Device 6</t>
  </si>
  <si>
    <t>Device 7</t>
  </si>
  <si>
    <t>Device 8</t>
  </si>
  <si>
    <t>Device 9</t>
  </si>
  <si>
    <t>Device 10</t>
  </si>
  <si>
    <t>Device 11</t>
  </si>
  <si>
    <t>Device 12</t>
  </si>
  <si>
    <t>Device 13</t>
  </si>
  <si>
    <t>Device 14</t>
  </si>
  <si>
    <t>Device 15</t>
  </si>
  <si>
    <t>Device 16</t>
  </si>
  <si>
    <t>Device 17</t>
  </si>
  <si>
    <t>Device 18</t>
  </si>
  <si>
    <t>Dev Present</t>
  </si>
  <si>
    <t>Peer to Peer</t>
  </si>
  <si>
    <t>SDLC_Parms</t>
  </si>
  <si>
    <t>Retry Time</t>
  </si>
  <si>
    <t>Security_Passwords</t>
  </si>
  <si>
    <t>Passwords 1</t>
  </si>
  <si>
    <t>Passwords 2</t>
  </si>
  <si>
    <t>Passwords 3</t>
  </si>
  <si>
    <t>Passwords 4</t>
  </si>
  <si>
    <t>Passwords 5</t>
  </si>
  <si>
    <t>Passwords 6</t>
  </si>
  <si>
    <t>Passwords 7</t>
  </si>
  <si>
    <t>Passwords 8</t>
  </si>
  <si>
    <t>Passwords 9</t>
  </si>
  <si>
    <t>Passwords 10</t>
  </si>
  <si>
    <t>Passwords 11</t>
  </si>
  <si>
    <t>Passwords 12</t>
  </si>
  <si>
    <t>Passwords 13</t>
  </si>
  <si>
    <t>Passwords 14</t>
  </si>
  <si>
    <t>Passwords 15</t>
  </si>
  <si>
    <t>Passwords 16</t>
  </si>
  <si>
    <t>Passwords 17</t>
  </si>
  <si>
    <t>Passwords 18</t>
  </si>
  <si>
    <t>Passwords 19</t>
  </si>
  <si>
    <t>Passwords 20</t>
  </si>
  <si>
    <t>Passwords 21</t>
  </si>
  <si>
    <t>Passwords 22</t>
  </si>
  <si>
    <t>Passwords 23</t>
  </si>
  <si>
    <t>Passwords 24</t>
  </si>
  <si>
    <t>Passwords 25</t>
  </si>
  <si>
    <t>Passwords 26</t>
  </si>
  <si>
    <t>Passwords 27</t>
  </si>
  <si>
    <t>Passwords 28</t>
  </si>
  <si>
    <t>Passwords 29</t>
  </si>
  <si>
    <t>Passwords 30</t>
  </si>
  <si>
    <t>Passwords 31</t>
  </si>
  <si>
    <t>Passwords 32</t>
  </si>
  <si>
    <t>Passwords 33</t>
  </si>
  <si>
    <t>Passwords 34</t>
  </si>
  <si>
    <t>Passwords 35</t>
  </si>
  <si>
    <t>Passwords 36</t>
  </si>
  <si>
    <t>Passwords 37</t>
  </si>
  <si>
    <t>Passwords 38</t>
  </si>
  <si>
    <t>Passwords 39</t>
  </si>
  <si>
    <t>Passwords 40</t>
  </si>
  <si>
    <t>Passwords 41</t>
  </si>
  <si>
    <t>Passwords 42</t>
  </si>
  <si>
    <t>Passwords 43</t>
  </si>
  <si>
    <t>Passwords 44</t>
  </si>
  <si>
    <t>Passwords 45</t>
  </si>
  <si>
    <t>Passwords 46</t>
  </si>
  <si>
    <t>Passwords 47</t>
  </si>
  <si>
    <t>Passwords 48</t>
  </si>
  <si>
    <t>Passwords 49</t>
  </si>
  <si>
    <t>Passwords 50</t>
  </si>
  <si>
    <t>Passwords 51</t>
  </si>
  <si>
    <t>Passwords 52</t>
  </si>
  <si>
    <t>Passwords 53</t>
  </si>
  <si>
    <t>Passwords 54</t>
  </si>
  <si>
    <t>Passwords 55</t>
  </si>
  <si>
    <t>Passwords 56</t>
  </si>
  <si>
    <t>Passwords 57</t>
  </si>
  <si>
    <t>Passwords 58</t>
  </si>
  <si>
    <t>Passwords 59</t>
  </si>
  <si>
    <t>Passwords 60</t>
  </si>
  <si>
    <t>Passwords 61</t>
  </si>
  <si>
    <t>Passwords 62</t>
  </si>
  <si>
    <t>Passwords 63</t>
  </si>
  <si>
    <t>Passwords 64</t>
  </si>
  <si>
    <t>Security Code</t>
  </si>
  <si>
    <t>Security Level</t>
  </si>
  <si>
    <t>Speed_Parameters</t>
  </si>
  <si>
    <t>Speed 1</t>
  </si>
  <si>
    <t>Speed 2</t>
  </si>
  <si>
    <t>Speed 3</t>
  </si>
  <si>
    <t>Speed 4</t>
  </si>
  <si>
    <t>Speed 5</t>
  </si>
  <si>
    <t>Speed 6</t>
  </si>
  <si>
    <t>Speed 7</t>
  </si>
  <si>
    <t>Speed 8</t>
  </si>
  <si>
    <t>Speed 9</t>
  </si>
  <si>
    <t>Speed 10</t>
  </si>
  <si>
    <t>Speed 11</t>
  </si>
  <si>
    <t>Speed 12</t>
  </si>
  <si>
    <t>Speed 13</t>
  </si>
  <si>
    <t>Speed 14</t>
  </si>
  <si>
    <t>Speed 15</t>
  </si>
  <si>
    <t>Speed 16</t>
  </si>
  <si>
    <t>Down Det</t>
  </si>
  <si>
    <t>Loop Car</t>
  </si>
  <si>
    <t>Up Det</t>
  </si>
  <si>
    <t>Zone Len</t>
  </si>
  <si>
    <t>Splits_Expanded_1</t>
  </si>
  <si>
    <t>Split Expanded 1</t>
  </si>
  <si>
    <t>Split Expanded 2</t>
  </si>
  <si>
    <t>Split Expanded 3</t>
  </si>
  <si>
    <t>Split Expanded 4</t>
  </si>
  <si>
    <t>Split Expanded 5</t>
  </si>
  <si>
    <t>Split Expanded 6</t>
  </si>
  <si>
    <t>Split Expanded 7</t>
  </si>
  <si>
    <t>Split Expanded 8</t>
  </si>
  <si>
    <t>Split Expanded 9</t>
  </si>
  <si>
    <t>Split Expanded 10</t>
  </si>
  <si>
    <t>Split Expanded 11</t>
  </si>
  <si>
    <t>Split Expanded 12</t>
  </si>
  <si>
    <t>Split Expanded 13</t>
  </si>
  <si>
    <t>Split Expanded 14</t>
  </si>
  <si>
    <t>Split Expanded 15</t>
  </si>
  <si>
    <t>Split Expanded 16</t>
  </si>
  <si>
    <t>Coord Phase</t>
  </si>
  <si>
    <t>Splits_Expanded_2</t>
  </si>
  <si>
    <t>Splits_Expanded_3</t>
  </si>
  <si>
    <t>Splits_Expanded_4</t>
  </si>
  <si>
    <t>Splits_Expanded_5</t>
  </si>
  <si>
    <t>Splits_Expanded_6</t>
  </si>
  <si>
    <t>Splits_Expanded_7</t>
  </si>
  <si>
    <t>Splits_Expanded_8</t>
  </si>
  <si>
    <t>Splits_Expanded_9</t>
  </si>
  <si>
    <t>Splits_Expanded_10</t>
  </si>
  <si>
    <t>Splits_Expanded_11</t>
  </si>
  <si>
    <t>Splits_Expanded_12</t>
  </si>
  <si>
    <t>Splits_Expanded_13</t>
  </si>
  <si>
    <t>Splits_Expanded_14</t>
  </si>
  <si>
    <t>Splits_Expanded_15</t>
  </si>
  <si>
    <t>Splits_Expanded_16</t>
  </si>
  <si>
    <t>Splits_Expanded_17</t>
  </si>
  <si>
    <t>Splits_Expanded_18</t>
  </si>
  <si>
    <t>Splits_Expanded_19</t>
  </si>
  <si>
    <t>Splits_Expanded_20</t>
  </si>
  <si>
    <t>Splits_Expanded_21</t>
  </si>
  <si>
    <t>Splits_Expanded_22</t>
  </si>
  <si>
    <t>Splits_Expanded_23</t>
  </si>
  <si>
    <t>Splits_Expanded_24</t>
  </si>
  <si>
    <t>Splits_Expanded_25</t>
  </si>
  <si>
    <t>Splits_Expanded_26</t>
  </si>
  <si>
    <t>Splits_Expanded_27</t>
  </si>
  <si>
    <t>Splits_Expanded_28</t>
  </si>
  <si>
    <t>Splits_Expanded_29</t>
  </si>
  <si>
    <t>Splits_Expanded_30</t>
  </si>
  <si>
    <t>Splits_Expanded_31</t>
  </si>
  <si>
    <t>Splits_Expanded_32</t>
  </si>
  <si>
    <t>Splits_Plus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</si>
  <si>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</si>
  <si>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</si>
  <si>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</si>
  <si>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</si>
  <si>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</si>
  <si>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</si>
  <si>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</si>
  <si>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</si>
  <si>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</si>
  <si>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</si>
  <si>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Split 11</t>
  </si>
  <si>
    <t>Split 12</t>
  </si>
  <si>
    <t>Split 13</t>
  </si>
  <si>
    <t>Split 14</t>
  </si>
  <si>
    <t>Split 15</t>
  </si>
  <si>
    <t>Split 16</t>
  </si>
  <si>
    <t>Split 17</t>
  </si>
  <si>
    <t>Split 18</t>
  </si>
  <si>
    <t>Split 19</t>
  </si>
  <si>
    <t>Split 20</t>
  </si>
  <si>
    <t>Split 21</t>
  </si>
  <si>
    <t>Split 22</t>
  </si>
  <si>
    <t>Split 23</t>
  </si>
  <si>
    <t>Split 24</t>
  </si>
  <si>
    <t>Split 25</t>
  </si>
  <si>
    <t>Split 26</t>
  </si>
  <si>
    <t>Split 27</t>
  </si>
  <si>
    <t>Split 28</t>
  </si>
  <si>
    <t>Split 29</t>
  </si>
  <si>
    <t>Split 30</t>
  </si>
  <si>
    <t>Split 31</t>
  </si>
  <si>
    <t>Split 32</t>
  </si>
  <si>
    <t>FrcAll</t>
  </si>
  <si>
    <t>Override Ped Yield</t>
  </si>
  <si>
    <t>Override PriOff</t>
  </si>
  <si>
    <t>Override Veh Yield</t>
  </si>
  <si>
    <t>PedRcy</t>
  </si>
  <si>
    <t>PedYld 1</t>
  </si>
  <si>
    <t>PedYld 10</t>
  </si>
  <si>
    <t>PedYld 11</t>
  </si>
  <si>
    <t>PedYld 12</t>
  </si>
  <si>
    <t>PedYld 13</t>
  </si>
  <si>
    <t>PedYld 14</t>
  </si>
  <si>
    <t>PedYld 15</t>
  </si>
  <si>
    <t>PedYld 16</t>
  </si>
  <si>
    <t>PedYld 2</t>
  </si>
  <si>
    <t>PedYld 3</t>
  </si>
  <si>
    <t>PedYld 4</t>
  </si>
  <si>
    <t>PedYld 5</t>
  </si>
  <si>
    <t>PedYld 6</t>
  </si>
  <si>
    <t>PedYld 7</t>
  </si>
  <si>
    <t>PedYld 8</t>
  </si>
  <si>
    <t>PedYld 9</t>
  </si>
  <si>
    <t>Perm1 Beg</t>
  </si>
  <si>
    <t>Perm1 Enable 1</t>
  </si>
  <si>
    <t>Perm1 Enable 10</t>
  </si>
  <si>
    <t>Perm1 Enable 11</t>
  </si>
  <si>
    <t>Perm1 Enable 12</t>
  </si>
  <si>
    <t>Perm1 Enable 13</t>
  </si>
  <si>
    <t>Perm1 Enable 14</t>
  </si>
  <si>
    <t>Perm1 Enable 15</t>
  </si>
  <si>
    <t>Perm1 Enable 16</t>
  </si>
  <si>
    <t>Perm1 Enable 2</t>
  </si>
  <si>
    <t>Perm1 Enable 3</t>
  </si>
  <si>
    <t>Perm1 Enable 4</t>
  </si>
  <si>
    <t>Perm1 Enable 5</t>
  </si>
  <si>
    <t>Perm1 Enable 6</t>
  </si>
  <si>
    <t>Perm1 Enable 7</t>
  </si>
  <si>
    <t>Perm1 Enable 8</t>
  </si>
  <si>
    <t>Perm1 Enable 9</t>
  </si>
  <si>
    <t>Perm1 End</t>
  </si>
  <si>
    <t>Perm2 Beg</t>
  </si>
  <si>
    <t>Perm2 Enable 1</t>
  </si>
  <si>
    <t>Perm2 Enable 10</t>
  </si>
  <si>
    <t>Perm2 Enable 11</t>
  </si>
  <si>
    <t>Perm2 Enable 12</t>
  </si>
  <si>
    <t>Perm2 Enable 13</t>
  </si>
  <si>
    <t>Perm2 Enable 14</t>
  </si>
  <si>
    <t>Perm2 Enable 15</t>
  </si>
  <si>
    <t>Perm2 Enable 16</t>
  </si>
  <si>
    <t>Perm2 Enable 2</t>
  </si>
  <si>
    <t>Perm2 Enable 3</t>
  </si>
  <si>
    <t>Perm2 Enable 4</t>
  </si>
  <si>
    <t>Perm2 Enable 5</t>
  </si>
  <si>
    <t>Perm2 Enable 6</t>
  </si>
  <si>
    <t>Perm2 Enable 7</t>
  </si>
  <si>
    <t>Perm2 Enable 8</t>
  </si>
  <si>
    <t>Perm2 Enable 9</t>
  </si>
  <si>
    <t>Perm2 End</t>
  </si>
  <si>
    <t>Perm3 Beg</t>
  </si>
  <si>
    <t>Perm3 Enable 1</t>
  </si>
  <si>
    <t>Perm3 Enable 10</t>
  </si>
  <si>
    <t>Perm3 Enable 11</t>
  </si>
  <si>
    <t>Perm3 Enable 12</t>
  </si>
  <si>
    <t>Perm3 Enable 13</t>
  </si>
  <si>
    <t>Perm3 Enable 14</t>
  </si>
  <si>
    <t>Perm3 Enable 15</t>
  </si>
  <si>
    <t>Perm3 Enable 16</t>
  </si>
  <si>
    <t>Perm3 Enable 2</t>
  </si>
  <si>
    <t>Perm3 Enable 3</t>
  </si>
  <si>
    <t>Perm3 Enable 4</t>
  </si>
  <si>
    <t>Perm3 Enable 5</t>
  </si>
  <si>
    <t>Perm3 Enable 6</t>
  </si>
  <si>
    <t>Perm3 Enable 7</t>
  </si>
  <si>
    <t>Perm3 Enable 8</t>
  </si>
  <si>
    <t>Perm3 Enable 9</t>
  </si>
  <si>
    <t>Perm3 End</t>
  </si>
  <si>
    <t>PriFrc 1</t>
  </si>
  <si>
    <t>PriFrc 10</t>
  </si>
  <si>
    <t>PriFrc 11</t>
  </si>
  <si>
    <t>PriFrc 12</t>
  </si>
  <si>
    <t>PriFrc 13</t>
  </si>
  <si>
    <t>PriFrc 14</t>
  </si>
  <si>
    <t>PriFrc 15</t>
  </si>
  <si>
    <t>PriFrc 16</t>
  </si>
  <si>
    <t>PriFrc 2</t>
  </si>
  <si>
    <t>PriFrc 3</t>
  </si>
  <si>
    <t>PriFrc 4</t>
  </si>
  <si>
    <t>PriFrc 5</t>
  </si>
  <si>
    <t>PriFrc 6</t>
  </si>
  <si>
    <t>PriFrc 7</t>
  </si>
  <si>
    <t>PriFrc 8</t>
  </si>
  <si>
    <t>PriFrc 9</t>
  </si>
  <si>
    <t>SecFrc 1</t>
  </si>
  <si>
    <t>SecFrc 10</t>
  </si>
  <si>
    <t>SecFrc 11</t>
  </si>
  <si>
    <t>SecFrc 12</t>
  </si>
  <si>
    <t>SecFrc 13</t>
  </si>
  <si>
    <t>SecFrc 14</t>
  </si>
  <si>
    <t>SecFrc 15</t>
  </si>
  <si>
    <t>SecFrc 16</t>
  </si>
  <si>
    <t>SecFrc 2</t>
  </si>
  <si>
    <t>SecFrc 3</t>
  </si>
  <si>
    <t>SecFrc 4</t>
  </si>
  <si>
    <t>SecFrc 5</t>
  </si>
  <si>
    <t>SecFrc 6</t>
  </si>
  <si>
    <t>SecFrc 7</t>
  </si>
  <si>
    <t>SecFrc 8</t>
  </si>
  <si>
    <t>SecFrc 9</t>
  </si>
  <si>
    <t>VehYld 1</t>
  </si>
  <si>
    <t>VehYld 10</t>
  </si>
  <si>
    <t>VehYld 11</t>
  </si>
  <si>
    <t>VehYld 12</t>
  </si>
  <si>
    <t>VehYld 13</t>
  </si>
  <si>
    <t>VehYld 14</t>
  </si>
  <si>
    <t>VehYld 15</t>
  </si>
  <si>
    <t>VehYld 16</t>
  </si>
  <si>
    <t>VehYld 2</t>
  </si>
  <si>
    <t>VehYld 3</t>
  </si>
  <si>
    <t>VehYld 4</t>
  </si>
  <si>
    <t>VehYld 5</t>
  </si>
  <si>
    <t>VehYld 6</t>
  </si>
  <si>
    <t>VehYld 7</t>
  </si>
  <si>
    <t>VehYld 8</t>
  </si>
  <si>
    <t>VehYld 9</t>
  </si>
  <si>
    <t>Sync_Parameters</t>
  </si>
  <si>
    <t>Sync 3</t>
  </si>
  <si>
    <t>Sync 4</t>
  </si>
  <si>
    <t>Hdwr Port</t>
  </si>
  <si>
    <t>TOD_Parameters</t>
  </si>
  <si>
    <t>DST Fall Month</t>
  </si>
  <si>
    <t>DST Fall Week</t>
  </si>
  <si>
    <t>DST Spring Month</t>
  </si>
  <si>
    <t>DST Spring Week</t>
  </si>
  <si>
    <t>GMT Offset Sign</t>
  </si>
  <si>
    <t>GMT Offset Time</t>
  </si>
  <si>
    <t>Time Base Sync Reference</t>
  </si>
  <si>
    <t>TSP_Splits</t>
  </si>
  <si>
    <t>Splits 1</t>
  </si>
  <si>
    <t>Splits 2</t>
  </si>
  <si>
    <t>Splits 3</t>
  </si>
  <si>
    <t>Splits 4</t>
  </si>
  <si>
    <t>Splits 5</t>
  </si>
  <si>
    <t>Splits 6</t>
  </si>
  <si>
    <t>Splits 7</t>
  </si>
  <si>
    <t>Splits 8</t>
  </si>
  <si>
    <t>Splits 9</t>
  </si>
  <si>
    <t>Splits 10</t>
  </si>
  <si>
    <t>Splits 11</t>
  </si>
  <si>
    <t>Splits 12</t>
  </si>
  <si>
    <t>Splits 13</t>
  </si>
  <si>
    <t>Splits 14</t>
  </si>
  <si>
    <t>Splits 15</t>
  </si>
  <si>
    <t>Splits 16</t>
  </si>
  <si>
    <t>Splits 17</t>
  </si>
  <si>
    <t>Splits 18</t>
  </si>
  <si>
    <t>Splits 19</t>
  </si>
  <si>
    <t>Splits 20</t>
  </si>
  <si>
    <t>Splits 21</t>
  </si>
  <si>
    <t>Splits 22</t>
  </si>
  <si>
    <t>Splits 23</t>
  </si>
  <si>
    <t>Splits 24</t>
  </si>
  <si>
    <t>Splits 25</t>
  </si>
  <si>
    <t>Splits 26</t>
  </si>
  <si>
    <t>Splits 27</t>
  </si>
  <si>
    <t>Splits 28</t>
  </si>
  <si>
    <t>Splits 29</t>
  </si>
  <si>
    <t>Splits 30</t>
  </si>
  <si>
    <t>Splits 31</t>
  </si>
  <si>
    <t>Splits 32</t>
  </si>
  <si>
    <t>Max Extend 1</t>
  </si>
  <si>
    <t>Max Extend 10</t>
  </si>
  <si>
    <t>Max Extend 11</t>
  </si>
  <si>
    <t>Max Extend 12</t>
  </si>
  <si>
    <t>Max Extend 13</t>
  </si>
  <si>
    <t>Max Extend 14</t>
  </si>
  <si>
    <t>Max Extend 15</t>
  </si>
  <si>
    <t>Max Extend 16</t>
  </si>
  <si>
    <t>Max Extend 2</t>
  </si>
  <si>
    <t>Max Extend 3</t>
  </si>
  <si>
    <t>Max Extend 4</t>
  </si>
  <si>
    <t>Max Extend 5</t>
  </si>
  <si>
    <t>Max Extend 6</t>
  </si>
  <si>
    <t>Max Extend 7</t>
  </si>
  <si>
    <t>Max Extend 8</t>
  </si>
  <si>
    <t>Max Extend 9</t>
  </si>
  <si>
    <t>Max Reduce 1</t>
  </si>
  <si>
    <t>Max Reduce 10</t>
  </si>
  <si>
    <t>Max Reduce 11</t>
  </si>
  <si>
    <t>Max Reduce 12</t>
  </si>
  <si>
    <t>Max Reduce 13</t>
  </si>
  <si>
    <t>Max Reduce 14</t>
  </si>
  <si>
    <t>Max Reduce 15</t>
  </si>
  <si>
    <t>Max Reduce 16</t>
  </si>
  <si>
    <t>Max Reduce 2</t>
  </si>
  <si>
    <t>Max Reduce 3</t>
  </si>
  <si>
    <t>Max Reduce 4</t>
  </si>
  <si>
    <t>Max Reduce 5</t>
  </si>
  <si>
    <t>Max Reduce 6</t>
  </si>
  <si>
    <t>Max Reduce 7</t>
  </si>
  <si>
    <t>Max Reduce 8</t>
  </si>
  <si>
    <t>Max Reduce 9</t>
  </si>
  <si>
    <t>Strategy Number 1</t>
  </si>
  <si>
    <t>Strategy Number 2</t>
  </si>
  <si>
    <t>Strategy Number 3</t>
  </si>
  <si>
    <t>Strategy Number 4</t>
  </si>
  <si>
    <t>Time Estimated Departure 1</t>
  </si>
  <si>
    <t>Time Estimated Departure 2</t>
  </si>
  <si>
    <t>Time Estimated Departure 3</t>
  </si>
  <si>
    <t>Time Estimated Departure 4</t>
  </si>
  <si>
    <t>Time Service Desired 1</t>
  </si>
  <si>
    <t>Time Service Desired 2</t>
  </si>
  <si>
    <t>Time Service Desired 3</t>
  </si>
  <si>
    <t>Time Service Desired 4</t>
  </si>
  <si>
    <t>TSP_Strategy</t>
  </si>
  <si>
    <t>Strategy 1</t>
  </si>
  <si>
    <t>Strategy 2</t>
  </si>
  <si>
    <t>Strategy 3</t>
  </si>
  <si>
    <t>Strategy 4</t>
  </si>
  <si>
    <t>Strategy 5</t>
  </si>
  <si>
    <t>Strategy 6</t>
  </si>
  <si>
    <t>Strategy 7</t>
  </si>
  <si>
    <t>Strategy 8</t>
  </si>
  <si>
    <t>Service Ph 1</t>
  </si>
  <si>
    <t>Service Ph 2</t>
  </si>
  <si>
    <t>Service Ph 3</t>
  </si>
  <si>
    <t>Service Ph 4</t>
  </si>
  <si>
    <t>Unit_Parms</t>
  </si>
  <si>
    <t>Allow &lt; 3 sec Yel</t>
  </si>
  <si>
    <t>Clearance Decide</t>
  </si>
  <si>
    <t>Enable Run</t>
  </si>
  <si>
    <t>Free Ring Sequence</t>
  </si>
  <si>
    <t>Local Flash Start</t>
  </si>
  <si>
    <t>Min Ped Clear Time</t>
  </si>
  <si>
    <t>Start Red Time</t>
  </si>
  <si>
    <t>Startup Calls</t>
  </si>
  <si>
    <t>StartUp Flash</t>
  </si>
  <si>
    <t>Stop Time Over Preempt</t>
  </si>
  <si>
    <t>User_Input_D_Map</t>
  </si>
  <si>
    <t>Pin 9</t>
  </si>
  <si>
    <t>Pin 10</t>
  </si>
  <si>
    <t>Pin 11</t>
  </si>
  <si>
    <t>Pin 12</t>
  </si>
  <si>
    <t>Pin 13</t>
  </si>
  <si>
    <t>Pin 14</t>
  </si>
  <si>
    <t>Pin 15</t>
  </si>
  <si>
    <t>Pin 16</t>
  </si>
  <si>
    <t>Pin 17</t>
  </si>
  <si>
    <t>Pin 18</t>
  </si>
  <si>
    <t>Pin 19</t>
  </si>
  <si>
    <t>Pin 20</t>
  </si>
  <si>
    <t>Pin 21</t>
  </si>
  <si>
    <t>Pin 22</t>
  </si>
  <si>
    <t>Pin 23</t>
  </si>
  <si>
    <t>Pin 24</t>
  </si>
  <si>
    <t>Pin 25</t>
  </si>
  <si>
    <t>Pin 26</t>
  </si>
  <si>
    <t>Pin 27</t>
  </si>
  <si>
    <t>Pin 28</t>
  </si>
  <si>
    <t>Pin 29</t>
  </si>
  <si>
    <t>Pin 30</t>
  </si>
  <si>
    <t>Pin 31</t>
  </si>
  <si>
    <t>Pin 32</t>
  </si>
  <si>
    <t>Pin 33</t>
  </si>
  <si>
    <t>Pin 34</t>
  </si>
  <si>
    <t>Pin 35</t>
  </si>
  <si>
    <t>Pin 36</t>
  </si>
  <si>
    <t>Pin 37</t>
  </si>
  <si>
    <t>Pin 38</t>
  </si>
  <si>
    <t>Pin 39</t>
  </si>
  <si>
    <t>Pin 40</t>
  </si>
  <si>
    <t>Pin 41</t>
  </si>
  <si>
    <t>Pin 42</t>
  </si>
  <si>
    <t>Pin 43</t>
  </si>
  <si>
    <t>Pin 44</t>
  </si>
  <si>
    <t>Pin 45</t>
  </si>
  <si>
    <t>Pin 46</t>
  </si>
  <si>
    <t>Pin 47</t>
  </si>
  <si>
    <t>Pin 48</t>
  </si>
  <si>
    <t>Pin 49</t>
  </si>
  <si>
    <t>Pin</t>
  </si>
  <si>
    <t>User_Output_D_Map</t>
  </si>
  <si>
    <t>Vehicle_Dets</t>
  </si>
  <si>
    <t>Det 65</t>
  </si>
  <si>
    <t>Det 66</t>
  </si>
  <si>
    <t>Det 67</t>
  </si>
  <si>
    <t>Det 68</t>
  </si>
  <si>
    <t>Det 69</t>
  </si>
  <si>
    <t>Det 70</t>
  </si>
  <si>
    <t>Det 71</t>
  </si>
  <si>
    <t>Det 72</t>
  </si>
  <si>
    <t>Det 73</t>
  </si>
  <si>
    <t>Det 74</t>
  </si>
  <si>
    <t>Det 75</t>
  </si>
  <si>
    <t>Det 76</t>
  </si>
  <si>
    <t>Det 77</t>
  </si>
  <si>
    <t>Det 78</t>
  </si>
  <si>
    <t>Det 79</t>
  </si>
  <si>
    <t>Det 80</t>
  </si>
  <si>
    <t>Det 81</t>
  </si>
  <si>
    <t>Det 82</t>
  </si>
  <si>
    <t>Det 83</t>
  </si>
  <si>
    <t>Det 84</t>
  </si>
  <si>
    <t>Det 85</t>
  </si>
  <si>
    <t>Det 86</t>
  </si>
  <si>
    <t>Det 87</t>
  </si>
  <si>
    <t>Det 88</t>
  </si>
  <si>
    <t>Det 89</t>
  </si>
  <si>
    <t>Det 90</t>
  </si>
  <si>
    <t>Det 91</t>
  </si>
  <si>
    <t>Det 92</t>
  </si>
  <si>
    <t>Det 93</t>
  </si>
  <si>
    <t>Det 94</t>
  </si>
  <si>
    <t>Det 95</t>
  </si>
  <si>
    <t>Det 96</t>
  </si>
  <si>
    <t>Det 97</t>
  </si>
  <si>
    <t>Det 98</t>
  </si>
  <si>
    <t>Det 99</t>
  </si>
  <si>
    <t>Det 100</t>
  </si>
  <si>
    <t>Det 101</t>
  </si>
  <si>
    <t>Det 102</t>
  </si>
  <si>
    <t>Det 103</t>
  </si>
  <si>
    <t>Det 104</t>
  </si>
  <si>
    <t>Det 105</t>
  </si>
  <si>
    <t>Det 106</t>
  </si>
  <si>
    <t>Det 107</t>
  </si>
  <si>
    <t>Det 108</t>
  </si>
  <si>
    <t>Det 109</t>
  </si>
  <si>
    <t>Det 110</t>
  </si>
  <si>
    <t>Det 111</t>
  </si>
  <si>
    <t>Det 112</t>
  </si>
  <si>
    <t>Det 113</t>
  </si>
  <si>
    <t>Det 114</t>
  </si>
  <si>
    <t>Det 115</t>
  </si>
  <si>
    <t>Det 116</t>
  </si>
  <si>
    <t>Det 117</t>
  </si>
  <si>
    <t>Det 118</t>
  </si>
  <si>
    <t>Det 119</t>
  </si>
  <si>
    <t>Det 120</t>
  </si>
  <si>
    <t>Det 121</t>
  </si>
  <si>
    <t>Det 122</t>
  </si>
  <si>
    <t>Det 123</t>
  </si>
  <si>
    <t>Det 124</t>
  </si>
  <si>
    <t>Det 125</t>
  </si>
  <si>
    <t>Det 126</t>
  </si>
  <si>
    <t>Det 127</t>
  </si>
  <si>
    <t>Det 128</t>
  </si>
  <si>
    <t>Erratic Counts</t>
  </si>
  <si>
    <t>Extend</t>
  </si>
  <si>
    <t>Extend Time</t>
  </si>
  <si>
    <t>Fail Time</t>
  </si>
  <si>
    <t>Queue</t>
  </si>
  <si>
    <t>Queue Limit</t>
  </si>
  <si>
    <t>Red Lock</t>
  </si>
  <si>
    <t>Switch Phase</t>
  </si>
  <si>
    <t>Volume</t>
  </si>
  <si>
    <t>Yellow Lock</t>
  </si>
  <si>
    <t>Vehicle_Dets_Alt_1</t>
  </si>
  <si>
    <t>Alt 9</t>
  </si>
  <si>
    <t>Alt 10</t>
  </si>
  <si>
    <t>Alt 11</t>
  </si>
  <si>
    <t>Alt 12</t>
  </si>
  <si>
    <t>Alt 13</t>
  </si>
  <si>
    <t>Alt 14</t>
  </si>
  <si>
    <t>Alt 15</t>
  </si>
  <si>
    <t>Alt 16</t>
  </si>
  <si>
    <t>Delay Phase 1</t>
  </si>
  <si>
    <t>Delay Phase 2</t>
  </si>
  <si>
    <t>Ext Mode</t>
  </si>
  <si>
    <t>Green Occupancy</t>
  </si>
  <si>
    <t>Red Occupancy</t>
  </si>
  <si>
    <t>Source</t>
  </si>
  <si>
    <t>Yellow Occupancy</t>
  </si>
  <si>
    <t>Vehicle_Dets_Alt_2</t>
  </si>
  <si>
    <t>Vehicle_Dets_Alt_3</t>
  </si>
  <si>
    <t>Vehicle_Dets_Plus</t>
  </si>
  <si>
    <t>Det+ 1</t>
  </si>
  <si>
    <t>Det+ 2</t>
  </si>
  <si>
    <t>Det+ 3</t>
  </si>
  <si>
    <t>Det+ 4</t>
  </si>
  <si>
    <t>Det+ 5</t>
  </si>
  <si>
    <t>Det+ 6</t>
  </si>
  <si>
    <t>Det+ 7</t>
  </si>
  <si>
    <t>Det+ 8</t>
  </si>
  <si>
    <t>Det+ 9</t>
  </si>
  <si>
    <t>Det+ 10</t>
  </si>
  <si>
    <t>Det+ 11</t>
  </si>
  <si>
    <t>Det+ 12</t>
  </si>
  <si>
    <t>Det+ 13</t>
  </si>
  <si>
    <t>Det+ 14</t>
  </si>
  <si>
    <t>Det+ 15</t>
  </si>
  <si>
    <t>Det+ 16</t>
  </si>
  <si>
    <t>Det+ 17</t>
  </si>
  <si>
    <t>Det+ 18</t>
  </si>
  <si>
    <t>Det+ 19</t>
  </si>
  <si>
    <t>Det+ 20</t>
  </si>
  <si>
    <t>Det+ 21</t>
  </si>
  <si>
    <t>Det+ 22</t>
  </si>
  <si>
    <t>Det+ 23</t>
  </si>
  <si>
    <t>Det+ 24</t>
  </si>
  <si>
    <t>Det+ 25</t>
  </si>
  <si>
    <t>Det+ 26</t>
  </si>
  <si>
    <t>Det+ 27</t>
  </si>
  <si>
    <t>Det+ 28</t>
  </si>
  <si>
    <t>Det+ 29</t>
  </si>
  <si>
    <t>Det+ 30</t>
  </si>
  <si>
    <t>Det+ 31</t>
  </si>
  <si>
    <t>Det+ 32</t>
  </si>
  <si>
    <t>Det+ 33</t>
  </si>
  <si>
    <t>Det+ 34</t>
  </si>
  <si>
    <t>Det+ 35</t>
  </si>
  <si>
    <t>Det+ 36</t>
  </si>
  <si>
    <t>Det+ 37</t>
  </si>
  <si>
    <t>Det+ 38</t>
  </si>
  <si>
    <t>Det+ 39</t>
  </si>
  <si>
    <t>Det+ 40</t>
  </si>
  <si>
    <t>Det+ 41</t>
  </si>
  <si>
    <t>Det+ 42</t>
  </si>
  <si>
    <t>Det+ 43</t>
  </si>
  <si>
    <t>Det+ 44</t>
  </si>
  <si>
    <t>Det+ 45</t>
  </si>
  <si>
    <t>Det+ 46</t>
  </si>
  <si>
    <t>Det+ 47</t>
  </si>
  <si>
    <t>Det+ 48</t>
  </si>
  <si>
    <t>Det+ 49</t>
  </si>
  <si>
    <t>Det+ 50</t>
  </si>
  <si>
    <t>Det+ 51</t>
  </si>
  <si>
    <t>Det+ 52</t>
  </si>
  <si>
    <t>Det+ 53</t>
  </si>
  <si>
    <t>Det+ 54</t>
  </si>
  <si>
    <t>Det+ 55</t>
  </si>
  <si>
    <t>Det+ 56</t>
  </si>
  <si>
    <t>Det+ 57</t>
  </si>
  <si>
    <t>Det+ 58</t>
  </si>
  <si>
    <t>Det+ 59</t>
  </si>
  <si>
    <t>Det+ 60</t>
  </si>
  <si>
    <t>Det+ 61</t>
  </si>
  <si>
    <t>Det+ 62</t>
  </si>
  <si>
    <t>Det+ 63</t>
  </si>
  <si>
    <t>Det+ 64</t>
  </si>
  <si>
    <t>Det+ 65</t>
  </si>
  <si>
    <t>Det+ 66</t>
  </si>
  <si>
    <t>Det+ 67</t>
  </si>
  <si>
    <t>Det+ 68</t>
  </si>
  <si>
    <t>Det+ 69</t>
  </si>
  <si>
    <t>Det+ 70</t>
  </si>
  <si>
    <t>Det+ 71</t>
  </si>
  <si>
    <t>Det+ 72</t>
  </si>
  <si>
    <t>Det+ 73</t>
  </si>
  <si>
    <t>Det+ 74</t>
  </si>
  <si>
    <t>Det+ 75</t>
  </si>
  <si>
    <t>Det+ 76</t>
  </si>
  <si>
    <t>Det+ 77</t>
  </si>
  <si>
    <t>Det+ 78</t>
  </si>
  <si>
    <t>Det+ 79</t>
  </si>
  <si>
    <t>Det+ 80</t>
  </si>
  <si>
    <t>Det+ 81</t>
  </si>
  <si>
    <t>Det+ 82</t>
  </si>
  <si>
    <t>Det+ 83</t>
  </si>
  <si>
    <t>Det+ 84</t>
  </si>
  <si>
    <t>Det+ 85</t>
  </si>
  <si>
    <t>Det+ 86</t>
  </si>
  <si>
    <t>Det+ 87</t>
  </si>
  <si>
    <t>Det+ 88</t>
  </si>
  <si>
    <t>Det+ 89</t>
  </si>
  <si>
    <t>Det+ 90</t>
  </si>
  <si>
    <t>Det+ 91</t>
  </si>
  <si>
    <t>Det+ 92</t>
  </si>
  <si>
    <t>Det+ 93</t>
  </si>
  <si>
    <t>Det+ 94</t>
  </si>
  <si>
    <t>Det+ 95</t>
  </si>
  <si>
    <t>Det+ 96</t>
  </si>
  <si>
    <t>Det+ 97</t>
  </si>
  <si>
    <t>Det+ 98</t>
  </si>
  <si>
    <t>Det+ 99</t>
  </si>
  <si>
    <t>Det+ 100</t>
  </si>
  <si>
    <t>Det+ 101</t>
  </si>
  <si>
    <t>Det+ 102</t>
  </si>
  <si>
    <t>Det+ 103</t>
  </si>
  <si>
    <t>Det+ 104</t>
  </si>
  <si>
    <t>Det+ 105</t>
  </si>
  <si>
    <t>Det+ 106</t>
  </si>
  <si>
    <t>Det+ 107</t>
  </si>
  <si>
    <t>Det+ 108</t>
  </si>
  <si>
    <t>Det+ 109</t>
  </si>
  <si>
    <t>Det+ 110</t>
  </si>
  <si>
    <t>Det+ 111</t>
  </si>
  <si>
    <t>Det+ 112</t>
  </si>
  <si>
    <t>Det+ 113</t>
  </si>
  <si>
    <t>Det+ 114</t>
  </si>
  <si>
    <t>Det+ 115</t>
  </si>
  <si>
    <t>Det+ 116</t>
  </si>
  <si>
    <t>Det+ 117</t>
  </si>
  <si>
    <t>Det+ 118</t>
  </si>
  <si>
    <t>Det+ 119</t>
  </si>
  <si>
    <t>Det+ 120</t>
  </si>
  <si>
    <t>Det+ 121</t>
  </si>
  <si>
    <t>Det+ 122</t>
  </si>
  <si>
    <t>Det+ 123</t>
  </si>
  <si>
    <t>Det+ 124</t>
  </si>
  <si>
    <t>Det+ 125</t>
  </si>
  <si>
    <t>Det+ 126</t>
  </si>
  <si>
    <t>Det+ 127</t>
  </si>
  <si>
    <t>Det+ 128</t>
  </si>
  <si>
    <t>External Mode</t>
  </si>
  <si>
    <t>Over-ride Higher Preempt</t>
  </si>
  <si>
    <t>Coor+Pre</t>
  </si>
  <si>
    <t xml:space="preserve">Min </t>
  </si>
  <si>
    <t>HoldDwell</t>
  </si>
  <si>
    <t>Prior. Phases</t>
  </si>
  <si>
    <t>---TSP---</t>
  </si>
  <si>
    <t>GrpLock</t>
  </si>
  <si>
    <t>FreeMod</t>
  </si>
  <si>
    <t>Conditonal Service</t>
  </si>
  <si>
    <t>NoPed Reserv</t>
  </si>
  <si>
    <t>FYA Delay Time</t>
  </si>
  <si>
    <t>Ped ClearTime</t>
  </si>
  <si>
    <t>Green Ext Inh</t>
  </si>
  <si>
    <t>FYA AfterPreempt</t>
  </si>
  <si>
    <t>FYA ImmedReturn</t>
  </si>
  <si>
    <t>I/O INPUT TABLE</t>
  </si>
  <si>
    <t>Prog Parms+ (MM&gt;1&gt;5&gt;2&gt;X&gt;3)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</si>
  <si>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</si>
  <si>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</si>
  <si>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</si>
  <si>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</si>
  <si>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</si>
  <si>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</si>
  <si>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</si>
  <si>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</si>
  <si>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</si>
  <si>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</si>
  <si>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</si>
  <si>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</si>
  <si>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</si>
  <si>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</si>
  <si>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</si>
  <si>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</si>
  <si>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</si>
  <si>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</si>
  <si>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</si>
  <si>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</si>
  <si>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</si>
  <si>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</si>
  <si>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</si>
  <si>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</si>
  <si>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</si>
  <si>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</si>
  <si>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</si>
  <si>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</si>
  <si>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</si>
  <si>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</si>
  <si>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</si>
  <si>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</si>
  <si>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</si>
  <si>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</si>
  <si>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</si>
  <si>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</si>
  <si>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</si>
  <si>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</si>
  <si>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</si>
  <si>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</si>
  <si>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</si>
  <si>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</si>
  <si>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</si>
  <si>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</si>
  <si>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</si>
  <si>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</si>
  <si>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</si>
  <si>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</si>
  <si>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</si>
  <si>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</si>
  <si>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</si>
  <si>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</si>
  <si>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</si>
  <si>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</si>
  <si>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</si>
  <si>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</si>
  <si>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</si>
  <si>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</si>
  <si>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</si>
  <si>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</si>
  <si>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</si>
  <si>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</si>
  <si>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</si>
  <si>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</si>
  <si>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</si>
  <si>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</si>
  <si>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</si>
  <si>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</si>
  <si>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</si>
  <si>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</si>
  <si>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</si>
  <si>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</si>
  <si>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</si>
  <si>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</si>
  <si>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</si>
  <si>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</si>
  <si>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</si>
  <si>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</si>
  <si>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</si>
  <si>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</si>
  <si>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</si>
  <si>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</si>
  <si>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</si>
  <si>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</si>
  <si>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</si>
  <si>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</si>
  <si>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</si>
  <si>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</si>
  <si>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</si>
  <si>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</si>
  <si>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</si>
  <si>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</si>
  <si>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</si>
  <si>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</si>
  <si>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</si>
  <si>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</si>
  <si>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</si>
  <si>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</si>
  <si>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</si>
  <si>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</si>
  <si>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</si>
  <si>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</si>
  <si>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</si>
  <si>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</si>
  <si>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</si>
  <si>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</si>
  <si>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</si>
  <si>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</si>
  <si>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</si>
  <si>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</si>
  <si>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</si>
  <si>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</si>
  <si>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</si>
  <si>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</si>
  <si>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</si>
  <si>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</si>
  <si>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</si>
  <si>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</si>
  <si>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</si>
  <si>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</si>
  <si>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</si>
  <si>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PC26</t>
  </si>
  <si>
    <t>PC27</t>
  </si>
  <si>
    <t>PC28</t>
  </si>
  <si>
    <t>PC29</t>
  </si>
  <si>
    <t>PC30</t>
  </si>
  <si>
    <t>PC31</t>
  </si>
  <si>
    <t>PC32</t>
  </si>
  <si>
    <t>PP17</t>
  </si>
  <si>
    <t>PP18</t>
  </si>
  <si>
    <t>PP19</t>
  </si>
  <si>
    <t>PP20</t>
  </si>
  <si>
    <t>PP21</t>
  </si>
  <si>
    <t>PP22</t>
  </si>
  <si>
    <t>PP23</t>
  </si>
  <si>
    <t>PP24</t>
  </si>
  <si>
    <t>PP25</t>
  </si>
  <si>
    <t>PP26</t>
  </si>
  <si>
    <t>PP27</t>
  </si>
  <si>
    <t>PP28</t>
  </si>
  <si>
    <t>PP29</t>
  </si>
  <si>
    <t>PP30</t>
  </si>
  <si>
    <t>PP31</t>
  </si>
  <si>
    <t>PP32</t>
  </si>
  <si>
    <t>Dyn Shortway</t>
  </si>
  <si>
    <t>Ext Pattern</t>
  </si>
  <si>
    <t>Force-Off+</t>
  </si>
  <si>
    <t>Ped Call Inh</t>
  </si>
  <si>
    <t>DsblDwellCalls</t>
  </si>
  <si>
    <t>JeffMc</t>
  </si>
  <si>
    <t>RingA1go</t>
  </si>
  <si>
    <t>Prt Date:</t>
  </si>
  <si>
    <t>Operand_3</t>
  </si>
  <si>
    <t>Operand_2</t>
  </si>
  <si>
    <t>=</t>
  </si>
  <si>
    <t>Operand_1</t>
  </si>
  <si>
    <t>Fun</t>
  </si>
  <si>
    <t>Logic Func</t>
  </si>
  <si>
    <t>No Act</t>
  </si>
  <si>
    <t>Max Pres</t>
  </si>
  <si>
    <t>Err Cnt</t>
  </si>
  <si>
    <t>SvcPhases</t>
  </si>
  <si>
    <t>Phs Omits</t>
  </si>
  <si>
    <t>Ped Omits</t>
  </si>
  <si>
    <t>[2.7.X.3] TSP Split Table</t>
  </si>
  <si>
    <t>[2.9.2.(1-8)] Strategy Tables</t>
  </si>
  <si>
    <t>STRATEGY_1</t>
  </si>
  <si>
    <t>STRATEGY_2</t>
  </si>
  <si>
    <t>TSP - Max Reduction</t>
  </si>
  <si>
    <t>TSP - Max Extend</t>
  </si>
  <si>
    <t>Request</t>
  </si>
  <si>
    <t>Strategy</t>
  </si>
  <si>
    <t>TimSvcDes</t>
  </si>
  <si>
    <t>STRATEGY_3</t>
  </si>
  <si>
    <t>STRATEGY_4</t>
  </si>
  <si>
    <t>STRATEGY_5</t>
  </si>
  <si>
    <t>STRATEGY_6</t>
  </si>
  <si>
    <t>STRATEGY_7</t>
  </si>
  <si>
    <t>STRATEGY_8</t>
  </si>
  <si>
    <t>SPLITS</t>
  </si>
  <si>
    <t>NL</t>
  </si>
  <si>
    <t>ST</t>
  </si>
  <si>
    <t>EL</t>
  </si>
  <si>
    <t>WT</t>
  </si>
  <si>
    <t>SL</t>
  </si>
  <si>
    <t>NT</t>
  </si>
  <si>
    <t>WL</t>
  </si>
  <si>
    <t>ET</t>
  </si>
  <si>
    <t>TSP Active Trigger</t>
  </si>
  <si>
    <t>Ped Call Clear</t>
  </si>
  <si>
    <t>PAGE 3</t>
  </si>
  <si>
    <t>PAGE 4</t>
  </si>
  <si>
    <t>Page 5</t>
  </si>
  <si>
    <t>PAGE 6</t>
  </si>
  <si>
    <t>PAGE 7</t>
  </si>
  <si>
    <t>PAGE 8</t>
  </si>
  <si>
    <t>Page 10</t>
  </si>
  <si>
    <t>Page 11</t>
  </si>
  <si>
    <t>Page 12</t>
  </si>
  <si>
    <t>Page 13</t>
  </si>
  <si>
    <t>WBR1</t>
  </si>
  <si>
    <t>NBR1</t>
  </si>
  <si>
    <t>9 - FREE</t>
  </si>
  <si>
    <t>OverlapB+: 1-A</t>
  </si>
  <si>
    <t>OverlapB+: 2-B</t>
  </si>
  <si>
    <t>OverlapB+: 3-C</t>
  </si>
  <si>
    <t>OverlapB+: 4-D</t>
  </si>
  <si>
    <t>Min Veh</t>
  </si>
  <si>
    <t>Min Ped</t>
  </si>
  <si>
    <t>TimEstDep</t>
  </si>
  <si>
    <t>#1 Bus Preempt</t>
  </si>
  <si>
    <t>#2 Bus Preempt</t>
  </si>
  <si>
    <t>#3 Bus Preempt</t>
  </si>
  <si>
    <t>#4 Bus Preempt</t>
  </si>
  <si>
    <t>On</t>
  </si>
  <si>
    <t>Emerg</t>
  </si>
  <si>
    <t>Trans</t>
  </si>
  <si>
    <t>E-NET-5028</t>
  </si>
  <si>
    <t>SBT3</t>
  </si>
  <si>
    <t>SBR1</t>
  </si>
  <si>
    <t>WBT3</t>
  </si>
  <si>
    <t>NBT3</t>
  </si>
  <si>
    <t>EBT3</t>
  </si>
  <si>
    <t>EBR1</t>
  </si>
  <si>
    <t>ID No.</t>
  </si>
  <si>
    <t>ACTION Table [4.5]</t>
  </si>
  <si>
    <t>V76.12/13/15                                                      Updated 7/28/21</t>
  </si>
  <si>
    <t xml:space="preserve">  </t>
  </si>
  <si>
    <t xml:space="preserve">   </t>
  </si>
  <si>
    <t>Alpha @ Beta</t>
  </si>
  <si>
    <t>Beta</t>
  </si>
  <si>
    <t xml:space="preserve"> Alpha</t>
  </si>
  <si>
    <t>County of Fresno</t>
  </si>
  <si>
    <t>Cunty of Fresno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</si>
</sst>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"/>
    <numFmt numFmtId="166" formatCode="m/d/yyyy;@"/>
  </numFmts>
  <fonts count="107">
    <font>
      <sz val="10"/>
      <name val="Arial"/>
    </font>
    <font>
      <sz val="12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b/>
      <sz val="20"/>
      <name val="Arial"/>
      <family val="2"/>
    </font>
    <font>
      <b/>
      <sz val="8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sz val="9"/>
      <color indexed="10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7"/>
      <name val="Arial Narrow"/>
      <family val="2"/>
    </font>
    <font>
      <b/>
      <sz val="9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sz val="9"/>
      <color indexed="63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color indexed="12"/>
      <name val="Arial Narrow"/>
      <family val="2"/>
    </font>
    <font>
      <b/>
      <sz val="9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22"/>
      <name val="Arial"/>
      <family val="2"/>
    </font>
    <font>
      <b/>
      <sz val="11"/>
      <color indexed="8"/>
      <name val="Arial Narrow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5" tint="-0.249977111117893"/>
      <name val="Arial Narrow"/>
      <family val="2"/>
    </font>
    <font>
      <b/>
      <sz val="8"/>
      <color theme="5" tint="-0.249977111117893"/>
      <name val="Arial"/>
      <family val="2"/>
    </font>
    <font>
      <b/>
      <sz val="8"/>
      <color theme="5" tint="-0.249977111117893"/>
      <name val="Arial Narrow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b/>
      <sz val="11"/>
      <color theme="5" tint="-0.249977111117893"/>
      <name val="Arial Narrow"/>
      <family val="2"/>
    </font>
    <font>
      <b/>
      <sz val="8"/>
      <color theme="1"/>
      <name val="Arial Narrow"/>
      <family val="2"/>
    </font>
    <font>
      <b/>
      <sz val="12"/>
      <color theme="5" tint="-0.249977111117893"/>
      <name val="Arial"/>
      <family val="2"/>
    </font>
    <font>
      <b/>
      <sz val="12"/>
      <color theme="5" tint="-0.249977111117893"/>
      <name val="Arial Narrow"/>
      <family val="2"/>
    </font>
    <font>
      <b/>
      <sz val="9"/>
      <color theme="5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rgb="FFFF0000"/>
      <name val="Arial Narrow"/>
      <family val="2"/>
    </font>
    <font>
      <sz val="7"/>
      <name val="Small Fonts"/>
      <family val="2"/>
    </font>
    <font>
      <b/>
      <sz val="9"/>
      <name val="Bookman"/>
      <family val="1"/>
    </font>
    <font>
      <sz val="8"/>
      <name val="Bookman"/>
      <family val="1"/>
    </font>
    <font>
      <b/>
      <sz val="8"/>
      <color theme="5" tint="-0.249977111117893"/>
      <name val="Bookman"/>
      <family val="1"/>
    </font>
    <font>
      <b/>
      <sz val="8"/>
      <color indexed="8"/>
      <name val="Bookman"/>
      <family val="1"/>
    </font>
    <font>
      <sz val="9"/>
      <color theme="5" tint="-0.249977111117893"/>
      <name val="Arial Narrow"/>
      <family val="2"/>
    </font>
    <font>
      <b/>
      <sz val="16"/>
      <name val="Arial"/>
      <family val="2"/>
    </font>
    <font>
      <b/>
      <sz val="11"/>
      <name val="Bookman Old Style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theme="9" tint="-0.249977111117893"/>
      <name val="Arial"/>
      <family val="2"/>
    </font>
    <font>
      <b/>
      <sz val="10"/>
      <color indexed="57"/>
      <name val="Arial"/>
      <family val="2"/>
    </font>
    <font>
      <b/>
      <sz val="12"/>
      <color indexed="61"/>
      <name val="Arial"/>
      <family val="2"/>
    </font>
    <font>
      <b/>
      <sz val="12"/>
      <color theme="9" tint="-0.24997711111789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 Rounded MT Bold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12"/>
      <color rgb="FFC00000"/>
      <name val="Arial Narrow"/>
      <family val="2"/>
    </font>
    <font>
      <sz val="10"/>
      <color rgb="FFC00000"/>
      <name val="Arial"/>
      <family val="2"/>
    </font>
    <font>
      <b/>
      <sz val="10"/>
      <name val="Joanna MT"/>
      <family val="1"/>
    </font>
    <font>
      <b/>
      <sz val="8"/>
      <color rgb="FF00B050"/>
      <name val="Arial Narrow"/>
      <family val="2"/>
    </font>
    <font>
      <b/>
      <sz val="10"/>
      <color theme="4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6"/>
      <name val="Small Fonts"/>
      <family val="2"/>
    </font>
    <font>
      <b/>
      <sz val="8"/>
      <color rgb="FFC00000"/>
      <name val="Bookman"/>
      <family val="1"/>
    </font>
    <font>
      <b/>
      <sz val="8"/>
      <color rgb="FFC00000"/>
      <name val="Bookman"/>
    </font>
    <font>
      <b/>
      <sz val="8"/>
      <color rgb="FFC00000"/>
      <name val="Arial Narrow"/>
      <family val="2"/>
    </font>
    <font>
      <b/>
      <sz val="6"/>
      <name val="Small Fonts"/>
      <family val="2"/>
    </font>
    <font>
      <sz val="9"/>
      <color rgb="FFC00000"/>
      <name val="Arial"/>
      <family val="2"/>
    </font>
    <font>
      <b/>
      <sz val="9"/>
      <color rgb="FFFF0000"/>
      <name val="Arial Narrow"/>
      <family val="2"/>
    </font>
    <font>
      <b/>
      <sz val="9"/>
      <color rgb="FF002060"/>
      <name val="Arial Narrow"/>
      <family val="2"/>
    </font>
    <font>
      <sz val="9"/>
      <color theme="5" tint="-0.249977111117893"/>
      <name val="Arial"/>
      <family val="2"/>
    </font>
    <font>
      <b/>
      <sz val="11"/>
      <name val="Arial"/>
      <family val="2"/>
    </font>
    <font>
      <b/>
      <sz val="10"/>
      <color rgb="FFC00000"/>
      <name val="Arial Narrow"/>
      <family val="2"/>
    </font>
    <font>
      <b/>
      <sz val="8"/>
      <color rgb="FFC00000"/>
      <name val="Arial"/>
      <family val="2"/>
    </font>
    <font>
      <sz val="9"/>
      <color rgb="FFC00000"/>
      <name val="Arial Narrow"/>
      <family val="2"/>
    </font>
    <font>
      <sz val="8"/>
      <color rgb="FFC00000"/>
      <name val="Arial Narrow"/>
      <family val="2"/>
    </font>
    <font>
      <sz val="8"/>
      <color rgb="FFC00000"/>
      <name val="Small Fonts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sz val="28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b/>
      <i/>
      <sz val="2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FAF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F7AF"/>
        <bgColor indexed="64"/>
      </patternFill>
    </fill>
  </fills>
  <borders count="6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0" tint="-0.1499984740745262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theme="0" tint="-0.14999847407452621"/>
      </right>
      <top/>
      <bottom/>
      <diagonal/>
    </border>
    <border>
      <left style="thin">
        <color indexed="64"/>
      </left>
      <right style="medium">
        <color theme="0" tint="-0.1499984740745262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0" tint="-0.1499984740745262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theme="0" tint="-0.14999847407452621"/>
      </right>
      <top style="thin">
        <color theme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0" tint="-0.249977111117893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theme="1"/>
      </right>
      <top style="double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/>
      <diagonal/>
    </border>
    <border>
      <left style="medium">
        <color theme="1"/>
      </left>
      <right style="thin">
        <color theme="1" tint="0.499984740745262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thin">
        <color theme="1"/>
      </left>
      <right style="thin">
        <color theme="0" tint="-0.14996795556505021"/>
      </right>
      <top style="double">
        <color theme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double">
        <color theme="1"/>
      </top>
      <bottom style="thin">
        <color theme="0" tint="-0.14996795556505021"/>
      </bottom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theme="0" tint="-0.14999847407452621"/>
      </left>
      <right/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theme="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medium">
        <color theme="1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medium">
        <color theme="1"/>
      </top>
      <bottom style="thin">
        <color theme="0" tint="-0.14996795556505021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theme="1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medium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ouble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theme="1"/>
      </left>
      <right style="thin">
        <color indexed="55"/>
      </right>
      <top style="double">
        <color indexed="64"/>
      </top>
      <bottom/>
      <diagonal/>
    </border>
    <border>
      <left style="medium">
        <color theme="1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55"/>
      </right>
      <top/>
      <bottom/>
      <diagonal/>
    </border>
    <border>
      <left style="medium">
        <color theme="1"/>
      </left>
      <right style="thin">
        <color indexed="55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55"/>
      </left>
      <right style="medium">
        <color indexed="64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/>
      <diagonal/>
    </border>
    <border>
      <left style="thin">
        <color theme="0" tint="-0.14996795556505021"/>
      </left>
      <right/>
      <top style="double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theme="1"/>
      </bottom>
      <diagonal/>
    </border>
    <border>
      <left/>
      <right style="thin">
        <color theme="0" tint="-0.14996795556505021"/>
      </right>
      <top style="double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theme="0" tint="-0.149998474074526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double">
        <color indexed="64"/>
      </top>
      <bottom style="double">
        <color theme="0" tint="-0.249977111117893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1"/>
      </right>
      <top style="double">
        <color theme="1"/>
      </top>
      <bottom/>
      <diagonal/>
    </border>
    <border>
      <left style="medium">
        <color indexed="64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double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4" fillId="0" borderId="0"/>
    <xf numFmtId="0" fontId="4" fillId="0" borderId="0"/>
    <xf numFmtId="0" fontId="1" fillId="0" borderId="0"/>
  </cellStyleXfs>
  <cellXfs count="269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left" vertical="center"/>
    </xf>
    <xf numFmtId="0" fontId="5" fillId="0" borderId="0" xfId="0" applyFont="1" applyBorder="1" applyProtection="1"/>
    <xf numFmtId="0" fontId="16" fillId="2" borderId="1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11" fillId="4" borderId="0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left" vertical="center"/>
    </xf>
    <xf numFmtId="0" fontId="15" fillId="4" borderId="26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/>
    <xf numFmtId="0" fontId="4" fillId="4" borderId="0" xfId="0" applyFont="1" applyFill="1" applyProtection="1"/>
    <xf numFmtId="0" fontId="6" fillId="0" borderId="0" xfId="0" applyFont="1" applyAlignment="1" applyProtection="1">
      <alignment horizontal="center"/>
    </xf>
    <xf numFmtId="0" fontId="0" fillId="4" borderId="0" xfId="0" applyFill="1" applyProtection="1"/>
    <xf numFmtId="0" fontId="16" fillId="2" borderId="28" xfId="0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Border="1"/>
    <xf numFmtId="0" fontId="16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0" fillId="2" borderId="50" xfId="0" applyFill="1" applyBorder="1"/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2" borderId="53" xfId="0" applyFont="1" applyFill="1" applyBorder="1" applyAlignment="1">
      <alignment vertical="center"/>
    </xf>
    <xf numFmtId="0" fontId="11" fillId="0" borderId="1" xfId="0" applyFont="1" applyBorder="1"/>
    <xf numFmtId="0" fontId="15" fillId="2" borderId="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0" fillId="4" borderId="55" xfId="0" applyFill="1" applyBorder="1"/>
    <xf numFmtId="0" fontId="3" fillId="4" borderId="0" xfId="0" applyFont="1" applyFill="1" applyBorder="1" applyAlignment="1">
      <alignment vertical="center"/>
    </xf>
    <xf numFmtId="14" fontId="9" fillId="4" borderId="0" xfId="0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4" fontId="3" fillId="4" borderId="26" xfId="0" applyNumberFormat="1" applyFont="1" applyFill="1" applyBorder="1" applyAlignment="1">
      <alignment vertical="center"/>
    </xf>
    <xf numFmtId="0" fontId="0" fillId="4" borderId="26" xfId="0" applyFill="1" applyBorder="1"/>
    <xf numFmtId="0" fontId="8" fillId="0" borderId="0" xfId="0" applyFont="1"/>
    <xf numFmtId="0" fontId="0" fillId="4" borderId="0" xfId="0" applyFill="1" applyBorder="1" applyAlignment="1"/>
    <xf numFmtId="0" fontId="13" fillId="2" borderId="6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0" xfId="0" applyFont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Border="1"/>
    <xf numFmtId="0" fontId="11" fillId="2" borderId="17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20" fillId="2" borderId="26" xfId="0" applyFont="1" applyFill="1" applyBorder="1"/>
    <xf numFmtId="0" fontId="11" fillId="2" borderId="27" xfId="0" applyFont="1" applyFill="1" applyBorder="1"/>
    <xf numFmtId="0" fontId="11" fillId="4" borderId="26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15" fillId="4" borderId="21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23" xfId="0" applyFont="1" applyFill="1" applyBorder="1"/>
    <xf numFmtId="0" fontId="15" fillId="2" borderId="17" xfId="0" applyFont="1" applyFill="1" applyBorder="1" applyAlignment="1">
      <alignment horizontal="right"/>
    </xf>
    <xf numFmtId="0" fontId="15" fillId="4" borderId="2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right" vertical="center"/>
    </xf>
    <xf numFmtId="0" fontId="9" fillId="4" borderId="22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1" fillId="2" borderId="25" xfId="0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vertical="center"/>
    </xf>
    <xf numFmtId="0" fontId="15" fillId="5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horizontal="center" vertical="center"/>
    </xf>
    <xf numFmtId="0" fontId="15" fillId="2" borderId="4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0" xfId="0" applyFont="1"/>
    <xf numFmtId="0" fontId="25" fillId="6" borderId="1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22" xfId="0" applyFont="1" applyFill="1" applyBorder="1"/>
    <xf numFmtId="0" fontId="15" fillId="4" borderId="0" xfId="0" applyFont="1" applyFill="1" applyBorder="1"/>
    <xf numFmtId="0" fontId="15" fillId="4" borderId="0" xfId="0" applyFont="1" applyFill="1" applyBorder="1" applyAlignment="1"/>
    <xf numFmtId="0" fontId="15" fillId="4" borderId="23" xfId="0" applyFont="1" applyFill="1" applyBorder="1" applyAlignment="1">
      <alignment horizontal="center"/>
    </xf>
    <xf numFmtId="0" fontId="15" fillId="4" borderId="26" xfId="0" applyFont="1" applyFill="1" applyBorder="1" applyAlignment="1"/>
    <xf numFmtId="0" fontId="15" fillId="0" borderId="0" xfId="0" applyFont="1" applyAlignment="1"/>
    <xf numFmtId="0" fontId="11" fillId="2" borderId="12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vertical="center"/>
    </xf>
    <xf numFmtId="14" fontId="11" fillId="4" borderId="0" xfId="0" applyNumberFormat="1" applyFont="1" applyFill="1" applyBorder="1" applyAlignment="1">
      <alignment vertical="center"/>
    </xf>
    <xf numFmtId="0" fontId="32" fillId="9" borderId="21" xfId="0" applyFont="1" applyFill="1" applyBorder="1" applyAlignment="1">
      <alignment vertical="center"/>
    </xf>
    <xf numFmtId="0" fontId="32" fillId="9" borderId="55" xfId="0" applyFont="1" applyFill="1" applyBorder="1" applyAlignment="1">
      <alignment vertical="center"/>
    </xf>
    <xf numFmtId="0" fontId="0" fillId="9" borderId="0" xfId="0" applyFill="1"/>
    <xf numFmtId="0" fontId="26" fillId="9" borderId="0" xfId="0" applyFont="1" applyFill="1" applyBorder="1" applyAlignment="1">
      <alignment horizontal="left" vertical="center"/>
    </xf>
    <xf numFmtId="0" fontId="33" fillId="9" borderId="0" xfId="0" applyFont="1" applyFill="1" applyBorder="1" applyAlignment="1">
      <alignment horizontal="center" vertical="center"/>
    </xf>
    <xf numFmtId="0" fontId="15" fillId="9" borderId="0" xfId="0" applyFont="1" applyFill="1" applyBorder="1"/>
    <xf numFmtId="0" fontId="0" fillId="9" borderId="0" xfId="0" applyFill="1" applyBorder="1"/>
    <xf numFmtId="0" fontId="3" fillId="4" borderId="26" xfId="0" applyFont="1" applyFill="1" applyBorder="1" applyAlignment="1">
      <alignment vertical="center"/>
    </xf>
    <xf numFmtId="0" fontId="15" fillId="2" borderId="91" xfId="0" applyFont="1" applyFill="1" applyBorder="1" applyAlignment="1">
      <alignment horizontal="center" vertical="center"/>
    </xf>
    <xf numFmtId="0" fontId="16" fillId="3" borderId="156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6" fillId="2" borderId="94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0" fontId="16" fillId="2" borderId="96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/>
    </xf>
    <xf numFmtId="16" fontId="34" fillId="9" borderId="37" xfId="0" applyNumberFormat="1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16" fontId="34" fillId="9" borderId="1" xfId="0" applyNumberFormat="1" applyFont="1" applyFill="1" applyBorder="1" applyAlignment="1">
      <alignment horizontal="center"/>
    </xf>
    <xf numFmtId="16" fontId="34" fillId="9" borderId="1" xfId="0" quotePrefix="1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34" fillId="9" borderId="1" xfId="0" quotePrefix="1" applyFont="1" applyFill="1" applyBorder="1" applyAlignment="1">
      <alignment horizontal="center"/>
    </xf>
    <xf numFmtId="16" fontId="34" fillId="9" borderId="38" xfId="0" quotePrefix="1" applyNumberFormat="1" applyFont="1" applyFill="1" applyBorder="1" applyAlignment="1">
      <alignment horizontal="center"/>
    </xf>
    <xf numFmtId="0" fontId="15" fillId="9" borderId="7" xfId="0" applyFont="1" applyFill="1" applyBorder="1"/>
    <xf numFmtId="0" fontId="15" fillId="9" borderId="1" xfId="0" applyFont="1" applyFill="1" applyBorder="1"/>
    <xf numFmtId="0" fontId="5" fillId="9" borderId="100" xfId="0" applyFont="1" applyFill="1" applyBorder="1" applyAlignment="1">
      <alignment horizontal="center"/>
    </xf>
    <xf numFmtId="16" fontId="35" fillId="9" borderId="10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" fontId="35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9" fillId="4" borderId="23" xfId="0" applyFont="1" applyFill="1" applyBorder="1" applyAlignment="1">
      <alignment vertical="center"/>
    </xf>
    <xf numFmtId="14" fontId="11" fillId="4" borderId="26" xfId="0" applyNumberFormat="1" applyFont="1" applyFill="1" applyBorder="1" applyAlignment="1"/>
    <xf numFmtId="14" fontId="11" fillId="4" borderId="0" xfId="0" applyNumberFormat="1" applyFont="1" applyFill="1" applyBorder="1" applyAlignment="1">
      <alignment horizontal="center"/>
    </xf>
    <xf numFmtId="0" fontId="15" fillId="2" borderId="46" xfId="0" applyFont="1" applyFill="1" applyBorder="1" applyAlignment="1">
      <alignment horizontal="right" vertical="center"/>
    </xf>
    <xf numFmtId="0" fontId="11" fillId="0" borderId="26" xfId="0" applyFont="1" applyBorder="1"/>
    <xf numFmtId="0" fontId="15" fillId="11" borderId="7" xfId="0" applyFont="1" applyFill="1" applyBorder="1" applyAlignment="1">
      <alignment horizontal="right"/>
    </xf>
    <xf numFmtId="14" fontId="11" fillId="4" borderId="22" xfId="0" applyNumberFormat="1" applyFont="1" applyFill="1" applyBorder="1" applyAlignment="1">
      <alignment horizontal="center"/>
    </xf>
    <xf numFmtId="0" fontId="0" fillId="9" borderId="21" xfId="0" applyFill="1" applyBorder="1"/>
    <xf numFmtId="0" fontId="11" fillId="2" borderId="111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20" fillId="2" borderId="38" xfId="0" applyFont="1" applyFill="1" applyBorder="1"/>
    <xf numFmtId="0" fontId="8" fillId="2" borderId="115" xfId="0" applyFont="1" applyFill="1" applyBorder="1"/>
    <xf numFmtId="0" fontId="15" fillId="2" borderId="9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16" fillId="2" borderId="57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Protection="1"/>
    <xf numFmtId="0" fontId="11" fillId="2" borderId="46" xfId="0" applyFont="1" applyFill="1" applyBorder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15" fillId="9" borderId="26" xfId="0" applyFont="1" applyFill="1" applyBorder="1"/>
    <xf numFmtId="0" fontId="0" fillId="9" borderId="26" xfId="0" applyFill="1" applyBorder="1"/>
    <xf numFmtId="0" fontId="27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right" vertical="center"/>
    </xf>
    <xf numFmtId="0" fontId="0" fillId="9" borderId="120" xfId="0" applyFill="1" applyBorder="1"/>
    <xf numFmtId="0" fontId="0" fillId="9" borderId="23" xfId="0" applyFill="1" applyBorder="1"/>
    <xf numFmtId="0" fontId="11" fillId="9" borderId="0" xfId="0" applyFont="1" applyFill="1" applyBorder="1"/>
    <xf numFmtId="0" fontId="15" fillId="9" borderId="0" xfId="0" applyFont="1" applyFill="1" applyBorder="1" applyAlignment="1">
      <alignment horizontal="center" vertical="center"/>
    </xf>
    <xf numFmtId="0" fontId="11" fillId="9" borderId="23" xfId="0" applyFont="1" applyFill="1" applyBorder="1"/>
    <xf numFmtId="0" fontId="16" fillId="2" borderId="58" xfId="0" applyFont="1" applyFill="1" applyBorder="1" applyAlignment="1">
      <alignment horizontal="center" vertical="center"/>
    </xf>
    <xf numFmtId="0" fontId="15" fillId="2" borderId="170" xfId="0" applyFont="1" applyFill="1" applyBorder="1" applyAlignment="1">
      <alignment horizontal="center" vertical="center"/>
    </xf>
    <xf numFmtId="0" fontId="15" fillId="2" borderId="17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0" fillId="9" borderId="56" xfId="0" applyFill="1" applyBorder="1"/>
    <xf numFmtId="0" fontId="13" fillId="2" borderId="30" xfId="0" applyFont="1" applyFill="1" applyBorder="1" applyAlignment="1">
      <alignment horizontal="center"/>
    </xf>
    <xf numFmtId="0" fontId="28" fillId="9" borderId="71" xfId="0" applyFont="1" applyFill="1" applyBorder="1" applyAlignment="1">
      <alignment horizontal="left"/>
    </xf>
    <xf numFmtId="0" fontId="28" fillId="9" borderId="126" xfId="0" applyFont="1" applyFill="1" applyBorder="1" applyAlignment="1">
      <alignment horizontal="left"/>
    </xf>
    <xf numFmtId="0" fontId="28" fillId="9" borderId="71" xfId="0" applyFont="1" applyFill="1" applyBorder="1"/>
    <xf numFmtId="0" fontId="28" fillId="9" borderId="71" xfId="0" applyFont="1" applyFill="1" applyBorder="1" applyAlignment="1">
      <alignment horizontal="left" vertical="center"/>
    </xf>
    <xf numFmtId="0" fontId="28" fillId="9" borderId="71" xfId="0" applyFont="1" applyFill="1" applyBorder="1" applyAlignment="1">
      <alignment horizontal="center" vertical="center"/>
    </xf>
    <xf numFmtId="0" fontId="9" fillId="9" borderId="127" xfId="0" applyFont="1" applyFill="1" applyBorder="1" applyAlignment="1"/>
    <xf numFmtId="0" fontId="13" fillId="9" borderId="128" xfId="0" applyFont="1" applyFill="1" applyBorder="1" applyAlignment="1">
      <alignment horizontal="center" vertical="center"/>
    </xf>
    <xf numFmtId="0" fontId="13" fillId="9" borderId="123" xfId="0" applyFont="1" applyFill="1" applyBorder="1" applyAlignment="1">
      <alignment horizontal="center" vertical="center"/>
    </xf>
    <xf numFmtId="0" fontId="6" fillId="11" borderId="60" xfId="0" applyFont="1" applyFill="1" applyBorder="1" applyAlignment="1">
      <alignment horizontal="center"/>
    </xf>
    <xf numFmtId="0" fontId="16" fillId="9" borderId="156" xfId="0" applyFont="1" applyFill="1" applyBorder="1" applyAlignment="1" applyProtection="1">
      <alignment horizontal="center" vertical="center"/>
    </xf>
    <xf numFmtId="0" fontId="43" fillId="9" borderId="66" xfId="0" applyFont="1" applyFill="1" applyBorder="1" applyAlignment="1" applyProtection="1">
      <alignment horizontal="left" vertical="center"/>
    </xf>
    <xf numFmtId="0" fontId="43" fillId="9" borderId="67" xfId="0" applyFont="1" applyFill="1" applyBorder="1" applyAlignment="1" applyProtection="1">
      <alignment horizontal="center" vertical="center"/>
    </xf>
    <xf numFmtId="0" fontId="43" fillId="9" borderId="129" xfId="0" applyFont="1" applyFill="1" applyBorder="1" applyAlignment="1" applyProtection="1">
      <alignment horizontal="center" vertical="center"/>
    </xf>
    <xf numFmtId="0" fontId="43" fillId="9" borderId="15" xfId="0" applyFont="1" applyFill="1" applyBorder="1" applyAlignment="1" applyProtection="1">
      <alignment horizontal="center" vertical="center"/>
    </xf>
    <xf numFmtId="0" fontId="43" fillId="4" borderId="22" xfId="0" applyFont="1" applyFill="1" applyBorder="1"/>
    <xf numFmtId="0" fontId="43" fillId="4" borderId="20" xfId="0" applyFont="1" applyFill="1" applyBorder="1" applyAlignment="1">
      <alignment horizontal="left" vertical="center"/>
    </xf>
    <xf numFmtId="0" fontId="43" fillId="4" borderId="22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/>
    </xf>
    <xf numFmtId="0" fontId="43" fillId="4" borderId="21" xfId="0" applyFont="1" applyFill="1" applyBorder="1" applyAlignment="1">
      <alignment horizontal="left" vertical="center"/>
    </xf>
    <xf numFmtId="0" fontId="43" fillId="4" borderId="22" xfId="0" applyFont="1" applyFill="1" applyBorder="1" applyAlignment="1">
      <alignment horizontal="left"/>
    </xf>
    <xf numFmtId="0" fontId="47" fillId="4" borderId="21" xfId="0" applyFont="1" applyFill="1" applyBorder="1" applyAlignment="1">
      <alignment horizontal="center" vertical="center"/>
    </xf>
    <xf numFmtId="0" fontId="43" fillId="9" borderId="88" xfId="0" applyFont="1" applyFill="1" applyBorder="1" applyAlignment="1">
      <alignment horizontal="center" vertical="center"/>
    </xf>
    <xf numFmtId="0" fontId="43" fillId="9" borderId="112" xfId="0" applyFont="1" applyFill="1" applyBorder="1" applyAlignment="1">
      <alignment horizontal="center" vertical="center"/>
    </xf>
    <xf numFmtId="0" fontId="43" fillId="9" borderId="130" xfId="0" applyFont="1" applyFill="1" applyBorder="1" applyAlignment="1">
      <alignment horizontal="center" vertical="center"/>
    </xf>
    <xf numFmtId="0" fontId="10" fillId="9" borderId="20" xfId="0" applyFont="1" applyFill="1" applyBorder="1" applyAlignment="1"/>
    <xf numFmtId="0" fontId="10" fillId="9" borderId="21" xfId="0" applyFont="1" applyFill="1" applyBorder="1" applyAlignment="1"/>
    <xf numFmtId="0" fontId="10" fillId="9" borderId="55" xfId="0" applyFont="1" applyFill="1" applyBorder="1" applyAlignment="1"/>
    <xf numFmtId="0" fontId="9" fillId="9" borderId="21" xfId="0" applyFont="1" applyFill="1" applyBorder="1" applyAlignment="1"/>
    <xf numFmtId="0" fontId="0" fillId="9" borderId="27" xfId="0" applyFill="1" applyBorder="1"/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13" borderId="60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66" xfId="0" applyFont="1" applyFill="1" applyBorder="1" applyAlignment="1">
      <alignment horizontal="center" vertical="center" wrapText="1"/>
    </xf>
    <xf numFmtId="0" fontId="16" fillId="13" borderId="67" xfId="0" applyFont="1" applyFill="1" applyBorder="1" applyAlignment="1">
      <alignment horizontal="center" vertical="center" wrapText="1"/>
    </xf>
    <xf numFmtId="0" fontId="16" fillId="13" borderId="67" xfId="0" applyFont="1" applyFill="1" applyBorder="1" applyAlignment="1">
      <alignment horizontal="center" vertical="center"/>
    </xf>
    <xf numFmtId="0" fontId="16" fillId="13" borderId="6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11" fillId="2" borderId="94" xfId="0" applyFont="1" applyFill="1" applyBorder="1" applyAlignment="1">
      <alignment horizontal="center" vertical="center"/>
    </xf>
    <xf numFmtId="0" fontId="11" fillId="2" borderId="13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/>
    </xf>
    <xf numFmtId="16" fontId="34" fillId="8" borderId="1" xfId="0" applyNumberFormat="1" applyFont="1" applyFill="1" applyBorder="1" applyAlignment="1">
      <alignment horizontal="center"/>
    </xf>
    <xf numFmtId="16" fontId="34" fillId="8" borderId="1" xfId="0" quotePrefix="1" applyNumberFormat="1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16" fontId="34" fillId="8" borderId="76" xfId="0" applyNumberFormat="1" applyFont="1" applyFill="1" applyBorder="1" applyAlignment="1">
      <alignment horizontal="center"/>
    </xf>
    <xf numFmtId="0" fontId="15" fillId="8" borderId="19" xfId="0" applyFont="1" applyFill="1" applyBorder="1"/>
    <xf numFmtId="0" fontId="15" fillId="8" borderId="76" xfId="0" applyFont="1" applyFill="1" applyBorder="1"/>
    <xf numFmtId="0" fontId="15" fillId="8" borderId="76" xfId="0" applyFont="1" applyFill="1" applyBorder="1" applyAlignment="1">
      <alignment horizontal="center"/>
    </xf>
    <xf numFmtId="16" fontId="34" fillId="8" borderId="38" xfId="0" quotePrefix="1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34" fillId="8" borderId="1" xfId="0" quotePrefix="1" applyFont="1" applyFill="1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6" fontId="3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5" fillId="8" borderId="65" xfId="0" applyFont="1" applyFill="1" applyBorder="1" applyAlignment="1">
      <alignment horizontal="center" vertical="center"/>
    </xf>
    <xf numFmtId="0" fontId="15" fillId="8" borderId="69" xfId="0" applyFont="1" applyFill="1" applyBorder="1" applyAlignment="1">
      <alignment horizontal="center" vertical="center"/>
    </xf>
    <xf numFmtId="0" fontId="15" fillId="8" borderId="189" xfId="0" applyFont="1" applyFill="1" applyBorder="1" applyAlignment="1">
      <alignment horizontal="center" vertical="center"/>
    </xf>
    <xf numFmtId="0" fontId="28" fillId="9" borderId="71" xfId="0" applyFont="1" applyFill="1" applyBorder="1" applyAlignment="1">
      <alignment horizontal="right"/>
    </xf>
    <xf numFmtId="14" fontId="28" fillId="9" borderId="126" xfId="0" applyNumberFormat="1" applyFont="1" applyFill="1" applyBorder="1" applyAlignment="1">
      <alignment horizontal="center" vertical="center"/>
    </xf>
    <xf numFmtId="0" fontId="15" fillId="8" borderId="70" xfId="0" applyFont="1" applyFill="1" applyBorder="1" applyAlignment="1">
      <alignment horizontal="center" vertical="center"/>
    </xf>
    <xf numFmtId="0" fontId="11" fillId="2" borderId="198" xfId="0" applyFont="1" applyFill="1" applyBorder="1" applyAlignment="1">
      <alignment horizontal="center" vertical="center"/>
    </xf>
    <xf numFmtId="0" fontId="15" fillId="8" borderId="199" xfId="0" applyFont="1" applyFill="1" applyBorder="1" applyAlignment="1">
      <alignment horizontal="center" vertical="center"/>
    </xf>
    <xf numFmtId="0" fontId="15" fillId="8" borderId="195" xfId="0" applyFont="1" applyFill="1" applyBorder="1" applyAlignment="1">
      <alignment horizontal="center" vertical="center"/>
    </xf>
    <xf numFmtId="0" fontId="15" fillId="8" borderId="200" xfId="0" applyFont="1" applyFill="1" applyBorder="1" applyAlignment="1">
      <alignment horizontal="center" vertical="center"/>
    </xf>
    <xf numFmtId="0" fontId="15" fillId="8" borderId="20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15" fillId="2" borderId="206" xfId="0" applyFont="1" applyFill="1" applyBorder="1" applyAlignment="1" applyProtection="1">
      <alignment horizontal="left" vertical="center"/>
    </xf>
    <xf numFmtId="0" fontId="15" fillId="2" borderId="209" xfId="0" applyFont="1" applyFill="1" applyBorder="1" applyAlignment="1" applyProtection="1">
      <alignment horizontal="left" vertical="center"/>
    </xf>
    <xf numFmtId="0" fontId="15" fillId="2" borderId="212" xfId="0" applyFont="1" applyFill="1" applyBorder="1" applyAlignment="1" applyProtection="1">
      <alignment horizontal="left" vertical="center"/>
    </xf>
    <xf numFmtId="0" fontId="15" fillId="12" borderId="31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43" fillId="9" borderId="21" xfId="0" applyFont="1" applyFill="1" applyBorder="1"/>
    <xf numFmtId="0" fontId="0" fillId="9" borderId="55" xfId="0" applyFill="1" applyBorder="1"/>
    <xf numFmtId="0" fontId="0" fillId="9" borderId="20" xfId="0" applyFill="1" applyBorder="1"/>
    <xf numFmtId="0" fontId="11" fillId="2" borderId="4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1" xfId="0" applyFont="1" applyFill="1" applyBorder="1" applyAlignment="1">
      <alignment horizontal="center" vertical="center"/>
    </xf>
    <xf numFmtId="0" fontId="45" fillId="9" borderId="20" xfId="0" applyFont="1" applyFill="1" applyBorder="1"/>
    <xf numFmtId="0" fontId="11" fillId="9" borderId="21" xfId="0" applyFont="1" applyFill="1" applyBorder="1"/>
    <xf numFmtId="0" fontId="11" fillId="9" borderId="55" xfId="0" applyFont="1" applyFill="1" applyBorder="1"/>
    <xf numFmtId="0" fontId="16" fillId="2" borderId="28" xfId="0" applyFont="1" applyFill="1" applyBorder="1" applyAlignment="1">
      <alignment vertical="center"/>
    </xf>
    <xf numFmtId="0" fontId="0" fillId="9" borderId="225" xfId="0" applyFill="1" applyBorder="1"/>
    <xf numFmtId="0" fontId="13" fillId="2" borderId="18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>
      <alignment horizontal="center" vertical="center" wrapText="1"/>
    </xf>
    <xf numFmtId="0" fontId="11" fillId="2" borderId="60" xfId="0" applyFont="1" applyFill="1" applyBorder="1"/>
    <xf numFmtId="0" fontId="11" fillId="2" borderId="18" xfId="0" applyFont="1" applyFill="1" applyBorder="1"/>
    <xf numFmtId="0" fontId="11" fillId="2" borderId="61" xfId="0" applyFont="1" applyFill="1" applyBorder="1"/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92" xfId="0" applyFont="1" applyFill="1" applyBorder="1" applyAlignment="1">
      <alignment horizontal="center" vertical="center"/>
    </xf>
    <xf numFmtId="0" fontId="15" fillId="8" borderId="234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58" fillId="2" borderId="45" xfId="0" applyFont="1" applyFill="1" applyBorder="1" applyAlignment="1">
      <alignment horizontal="center" vertical="center"/>
    </xf>
    <xf numFmtId="0" fontId="58" fillId="2" borderId="15" xfId="0" applyFont="1" applyFill="1" applyBorder="1" applyAlignment="1">
      <alignment horizontal="center" vertical="center"/>
    </xf>
    <xf numFmtId="0" fontId="58" fillId="0" borderId="0" xfId="0" applyFont="1"/>
    <xf numFmtId="0" fontId="59" fillId="9" borderId="71" xfId="0" applyFont="1" applyFill="1" applyBorder="1" applyAlignment="1">
      <alignment horizontal="left"/>
    </xf>
    <xf numFmtId="165" fontId="60" fillId="4" borderId="0" xfId="0" applyNumberFormat="1" applyFont="1" applyFill="1" applyBorder="1" applyAlignment="1">
      <alignment horizontal="center" vertical="center"/>
    </xf>
    <xf numFmtId="165" fontId="60" fillId="4" borderId="26" xfId="0" applyNumberFormat="1" applyFont="1" applyFill="1" applyBorder="1" applyAlignment="1">
      <alignment horizontal="center" vertical="center"/>
    </xf>
    <xf numFmtId="0" fontId="15" fillId="11" borderId="172" xfId="0" applyFont="1" applyFill="1" applyBorder="1" applyAlignment="1">
      <alignment horizontal="center" vertical="center"/>
    </xf>
    <xf numFmtId="0" fontId="15" fillId="11" borderId="192" xfId="0" applyFont="1" applyFill="1" applyBorder="1" applyAlignment="1">
      <alignment horizontal="center" vertical="center"/>
    </xf>
    <xf numFmtId="0" fontId="15" fillId="8" borderId="196" xfId="0" applyFont="1" applyFill="1" applyBorder="1" applyAlignment="1">
      <alignment horizontal="center" vertical="center"/>
    </xf>
    <xf numFmtId="0" fontId="15" fillId="8" borderId="172" xfId="0" applyFont="1" applyFill="1" applyBorder="1" applyAlignment="1">
      <alignment horizontal="center" vertical="center"/>
    </xf>
    <xf numFmtId="0" fontId="61" fillId="9" borderId="127" xfId="0" applyFont="1" applyFill="1" applyBorder="1" applyAlignment="1">
      <alignment horizontal="left" vertical="center"/>
    </xf>
    <xf numFmtId="0" fontId="61" fillId="9" borderId="125" xfId="0" applyFont="1" applyFill="1" applyBorder="1" applyAlignment="1">
      <alignment horizontal="left" vertical="center"/>
    </xf>
    <xf numFmtId="0" fontId="61" fillId="9" borderId="125" xfId="0" applyFont="1" applyFill="1" applyBorder="1" applyAlignment="1">
      <alignment horizontal="left"/>
    </xf>
    <xf numFmtId="0" fontId="4" fillId="0" borderId="20" xfId="1" applyBorder="1"/>
    <xf numFmtId="0" fontId="9" fillId="0" borderId="21" xfId="1" applyFont="1" applyBorder="1"/>
    <xf numFmtId="0" fontId="4" fillId="0" borderId="21" xfId="1" applyBorder="1"/>
    <xf numFmtId="0" fontId="4" fillId="0" borderId="0" xfId="1"/>
    <xf numFmtId="0" fontId="4" fillId="0" borderId="0" xfId="1" applyBorder="1"/>
    <xf numFmtId="0" fontId="9" fillId="0" borderId="0" xfId="1" applyFont="1" applyBorder="1"/>
    <xf numFmtId="0" fontId="9" fillId="0" borderId="22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4" fillId="0" borderId="22" xfId="1" applyBorder="1"/>
    <xf numFmtId="0" fontId="9" fillId="0" borderId="22" xfId="1" applyFont="1" applyBorder="1"/>
    <xf numFmtId="0" fontId="63" fillId="15" borderId="78" xfId="1" applyFont="1" applyFill="1" applyBorder="1" applyAlignment="1">
      <alignment horizontal="center"/>
    </xf>
    <xf numFmtId="0" fontId="63" fillId="15" borderId="117" xfId="1" applyFont="1" applyFill="1" applyBorder="1" applyAlignment="1">
      <alignment horizontal="center"/>
    </xf>
    <xf numFmtId="0" fontId="63" fillId="15" borderId="124" xfId="1" applyFont="1" applyFill="1" applyBorder="1" applyAlignment="1">
      <alignment horizontal="center"/>
    </xf>
    <xf numFmtId="0" fontId="63" fillId="15" borderId="118" xfId="1" applyFont="1" applyFill="1" applyBorder="1" applyAlignment="1">
      <alignment horizontal="center"/>
    </xf>
    <xf numFmtId="0" fontId="63" fillId="15" borderId="56" xfId="1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5" xfId="1" applyFont="1" applyBorder="1" applyAlignment="1">
      <alignment horizontal="center"/>
    </xf>
    <xf numFmtId="0" fontId="9" fillId="0" borderId="12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40" xfId="1" applyFont="1" applyBorder="1" applyAlignment="1">
      <alignment horizontal="center"/>
    </xf>
    <xf numFmtId="0" fontId="46" fillId="0" borderId="23" xfId="1" applyFont="1" applyBorder="1" applyAlignment="1">
      <alignment horizontal="center"/>
    </xf>
    <xf numFmtId="0" fontId="4" fillId="0" borderId="22" xfId="1" applyBorder="1" applyAlignment="1">
      <alignment horizontal="center"/>
    </xf>
    <xf numFmtId="0" fontId="4" fillId="0" borderId="6" xfId="1" applyBorder="1" applyAlignment="1">
      <alignment horizontal="center"/>
    </xf>
    <xf numFmtId="0" fontId="9" fillId="0" borderId="128" xfId="1" applyFont="1" applyBorder="1" applyAlignment="1">
      <alignment horizontal="center"/>
    </xf>
    <xf numFmtId="0" fontId="64" fillId="0" borderId="22" xfId="1" applyFont="1" applyBorder="1" applyAlignment="1">
      <alignment horizontal="center"/>
    </xf>
    <xf numFmtId="0" fontId="64" fillId="0" borderId="6" xfId="1" applyFont="1" applyBorder="1" applyAlignment="1">
      <alignment horizontal="center"/>
    </xf>
    <xf numFmtId="0" fontId="64" fillId="0" borderId="23" xfId="1" applyFont="1" applyBorder="1" applyAlignment="1">
      <alignment horizontal="center"/>
    </xf>
    <xf numFmtId="0" fontId="54" fillId="0" borderId="128" xfId="1" applyFont="1" applyBorder="1" applyAlignment="1">
      <alignment horizontal="center"/>
    </xf>
    <xf numFmtId="0" fontId="65" fillId="0" borderId="0" xfId="1" applyFont="1" applyBorder="1" applyAlignment="1">
      <alignment horizontal="center"/>
    </xf>
    <xf numFmtId="0" fontId="65" fillId="0" borderId="6" xfId="1" applyFont="1" applyBorder="1" applyAlignment="1">
      <alignment horizontal="center"/>
    </xf>
    <xf numFmtId="0" fontId="65" fillId="0" borderId="140" xfId="1" applyFont="1" applyBorder="1" applyAlignment="1">
      <alignment horizontal="center"/>
    </xf>
    <xf numFmtId="0" fontId="65" fillId="0" borderId="23" xfId="1" applyFont="1" applyBorder="1" applyAlignment="1">
      <alignment horizontal="center"/>
    </xf>
    <xf numFmtId="0" fontId="66" fillId="0" borderId="22" xfId="1" applyFont="1" applyBorder="1" applyAlignment="1">
      <alignment horizontal="center"/>
    </xf>
    <xf numFmtId="0" fontId="66" fillId="0" borderId="6" xfId="1" applyFont="1" applyBorder="1" applyAlignment="1">
      <alignment horizontal="center"/>
    </xf>
    <xf numFmtId="0" fontId="66" fillId="0" borderId="23" xfId="1" applyFont="1" applyBorder="1" applyAlignment="1">
      <alignment horizontal="center"/>
    </xf>
    <xf numFmtId="0" fontId="67" fillId="0" borderId="128" xfId="1" applyFont="1" applyBorder="1" applyAlignment="1">
      <alignment horizontal="center"/>
    </xf>
    <xf numFmtId="0" fontId="68" fillId="0" borderId="0" xfId="1" applyFont="1" applyBorder="1" applyAlignment="1">
      <alignment horizontal="center"/>
    </xf>
    <xf numFmtId="0" fontId="68" fillId="0" borderId="6" xfId="1" applyFont="1" applyBorder="1" applyAlignment="1">
      <alignment horizontal="center"/>
    </xf>
    <xf numFmtId="0" fontId="68" fillId="0" borderId="140" xfId="1" applyFont="1" applyBorder="1" applyAlignment="1">
      <alignment horizontal="center"/>
    </xf>
    <xf numFmtId="0" fontId="68" fillId="0" borderId="23" xfId="1" applyFont="1" applyBorder="1" applyAlignment="1">
      <alignment horizontal="center"/>
    </xf>
    <xf numFmtId="0" fontId="69" fillId="0" borderId="22" xfId="1" applyFont="1" applyBorder="1" applyAlignment="1">
      <alignment horizontal="center"/>
    </xf>
    <xf numFmtId="0" fontId="69" fillId="0" borderId="6" xfId="1" applyFont="1" applyBorder="1" applyAlignment="1">
      <alignment horizontal="center"/>
    </xf>
    <xf numFmtId="0" fontId="69" fillId="0" borderId="23" xfId="1" applyFont="1" applyBorder="1" applyAlignment="1">
      <alignment horizontal="center"/>
    </xf>
    <xf numFmtId="0" fontId="70" fillId="0" borderId="128" xfId="1" applyFont="1" applyBorder="1" applyAlignment="1">
      <alignment horizontal="center"/>
    </xf>
    <xf numFmtId="0" fontId="69" fillId="0" borderId="0" xfId="1" applyFont="1" applyBorder="1" applyAlignment="1">
      <alignment horizontal="center"/>
    </xf>
    <xf numFmtId="0" fontId="4" fillId="0" borderId="140" xfId="1" applyBorder="1" applyAlignment="1">
      <alignment horizontal="center"/>
    </xf>
    <xf numFmtId="0" fontId="4" fillId="0" borderId="23" xfId="1" applyBorder="1" applyAlignment="1">
      <alignment horizontal="center"/>
    </xf>
    <xf numFmtId="0" fontId="71" fillId="0" borderId="65" xfId="1" applyFont="1" applyBorder="1" applyAlignment="1">
      <alignment horizontal="center"/>
    </xf>
    <xf numFmtId="0" fontId="4" fillId="0" borderId="91" xfId="1" applyBorder="1"/>
    <xf numFmtId="0" fontId="4" fillId="0" borderId="102" xfId="1" applyBorder="1"/>
    <xf numFmtId="0" fontId="4" fillId="0" borderId="237" xfId="1" applyBorder="1"/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1" fillId="0" borderId="128" xfId="1" applyFont="1" applyBorder="1" applyAlignment="1">
      <alignment horizontal="center"/>
    </xf>
    <xf numFmtId="0" fontId="67" fillId="0" borderId="22" xfId="1" applyFont="1" applyBorder="1" applyAlignment="1">
      <alignment horizontal="center"/>
    </xf>
    <xf numFmtId="0" fontId="67" fillId="0" borderId="6" xfId="1" applyFont="1" applyBorder="1" applyAlignment="1">
      <alignment horizontal="center"/>
    </xf>
    <xf numFmtId="0" fontId="70" fillId="0" borderId="22" xfId="1" applyFont="1" applyBorder="1" applyAlignment="1">
      <alignment horizontal="center"/>
    </xf>
    <xf numFmtId="0" fontId="70" fillId="0" borderId="6" xfId="1" applyFont="1" applyBorder="1" applyAlignment="1">
      <alignment horizontal="center"/>
    </xf>
    <xf numFmtId="0" fontId="4" fillId="0" borderId="128" xfId="1" applyBorder="1" applyAlignment="1">
      <alignment horizontal="center"/>
    </xf>
    <xf numFmtId="0" fontId="4" fillId="0" borderId="66" xfId="1" applyBorder="1"/>
    <xf numFmtId="0" fontId="4" fillId="0" borderId="67" xfId="1" applyBorder="1"/>
    <xf numFmtId="0" fontId="4" fillId="0" borderId="68" xfId="1" applyBorder="1"/>
    <xf numFmtId="0" fontId="63" fillId="6" borderId="78" xfId="1" applyFont="1" applyFill="1" applyBorder="1" applyAlignment="1">
      <alignment horizontal="center"/>
    </xf>
    <xf numFmtId="0" fontId="63" fillId="6" borderId="120" xfId="1" applyFont="1" applyFill="1" applyBorder="1" applyAlignment="1">
      <alignment horizontal="center"/>
    </xf>
    <xf numFmtId="0" fontId="63" fillId="6" borderId="124" xfId="1" applyFont="1" applyFill="1" applyBorder="1" applyAlignment="1">
      <alignment horizontal="center"/>
    </xf>
    <xf numFmtId="0" fontId="72" fillId="0" borderId="6" xfId="1" applyFont="1" applyBorder="1" applyAlignment="1">
      <alignment horizontal="center"/>
    </xf>
    <xf numFmtId="0" fontId="72" fillId="0" borderId="140" xfId="1" applyFont="1" applyBorder="1" applyAlignment="1">
      <alignment horizontal="center"/>
    </xf>
    <xf numFmtId="0" fontId="4" fillId="0" borderId="140" xfId="1" applyFont="1" applyBorder="1" applyAlignment="1">
      <alignment horizontal="center"/>
    </xf>
    <xf numFmtId="0" fontId="71" fillId="0" borderId="128" xfId="1" applyFont="1" applyBorder="1"/>
    <xf numFmtId="0" fontId="4" fillId="0" borderId="6" xfId="1" applyFont="1" applyBorder="1" applyAlignment="1">
      <alignment horizontal="center"/>
    </xf>
    <xf numFmtId="0" fontId="4" fillId="5" borderId="20" xfId="1" applyFill="1" applyBorder="1"/>
    <xf numFmtId="0" fontId="9" fillId="5" borderId="21" xfId="1" applyFont="1" applyFill="1" applyBorder="1"/>
    <xf numFmtId="0" fontId="4" fillId="5" borderId="21" xfId="1" applyFill="1" applyBorder="1"/>
    <xf numFmtId="0" fontId="4" fillId="5" borderId="55" xfId="1" applyFill="1" applyBorder="1"/>
    <xf numFmtId="0" fontId="4" fillId="0" borderId="125" xfId="1" applyFont="1" applyBorder="1"/>
    <xf numFmtId="0" fontId="4" fillId="0" borderId="71" xfId="1" applyBorder="1"/>
    <xf numFmtId="0" fontId="4" fillId="0" borderId="126" xfId="1" applyBorder="1"/>
    <xf numFmtId="0" fontId="4" fillId="0" borderId="31" xfId="1" applyFont="1" applyBorder="1"/>
    <xf numFmtId="0" fontId="4" fillId="0" borderId="32" xfId="1" applyBorder="1"/>
    <xf numFmtId="0" fontId="4" fillId="0" borderId="99" xfId="1" applyBorder="1"/>
    <xf numFmtId="0" fontId="73" fillId="0" borderId="31" xfId="1" applyFont="1" applyBorder="1"/>
    <xf numFmtId="0" fontId="4" fillId="0" borderId="31" xfId="1" applyBorder="1"/>
    <xf numFmtId="0" fontId="74" fillId="0" borderId="31" xfId="2" applyBorder="1"/>
    <xf numFmtId="0" fontId="74" fillId="0" borderId="32" xfId="2" applyBorder="1"/>
    <xf numFmtId="0" fontId="74" fillId="0" borderId="99" xfId="2" applyBorder="1"/>
    <xf numFmtId="0" fontId="4" fillId="0" borderId="23" xfId="1" applyBorder="1"/>
    <xf numFmtId="0" fontId="4" fillId="0" borderId="121" xfId="1" applyBorder="1"/>
    <xf numFmtId="0" fontId="4" fillId="0" borderId="122" xfId="1" applyBorder="1"/>
    <xf numFmtId="0" fontId="74" fillId="0" borderId="0" xfId="2"/>
    <xf numFmtId="0" fontId="16" fillId="10" borderId="116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75" fillId="9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1" fillId="9" borderId="59" xfId="0" applyFont="1" applyFill="1" applyBorder="1" applyAlignment="1">
      <alignment horizontal="center" vertical="center"/>
    </xf>
    <xf numFmtId="0" fontId="31" fillId="9" borderId="57" xfId="0" applyFont="1" applyFill="1" applyBorder="1" applyAlignment="1">
      <alignment horizontal="center" vertical="center"/>
    </xf>
    <xf numFmtId="0" fontId="16" fillId="10" borderId="156" xfId="0" applyFont="1" applyFill="1" applyBorder="1" applyAlignment="1" applyProtection="1">
      <alignment horizontal="center" vertical="center"/>
    </xf>
    <xf numFmtId="0" fontId="16" fillId="10" borderId="157" xfId="0" applyFont="1" applyFill="1" applyBorder="1" applyAlignment="1" applyProtection="1">
      <alignment horizontal="center" vertical="center"/>
    </xf>
    <xf numFmtId="0" fontId="43" fillId="9" borderId="124" xfId="0" applyFont="1" applyFill="1" applyBorder="1" applyAlignment="1">
      <alignment horizontal="left" vertical="center"/>
    </xf>
    <xf numFmtId="0" fontId="43" fillId="9" borderId="22" xfId="0" applyFont="1" applyFill="1" applyBorder="1" applyAlignment="1">
      <alignment horizontal="left" vertical="center"/>
    </xf>
    <xf numFmtId="0" fontId="83" fillId="0" borderId="49" xfId="1" applyFont="1" applyBorder="1" applyAlignment="1">
      <alignment horizontal="center" vertical="center"/>
    </xf>
    <xf numFmtId="0" fontId="83" fillId="0" borderId="49" xfId="1" applyFont="1" applyBorder="1" applyAlignment="1">
      <alignment horizontal="center"/>
    </xf>
    <xf numFmtId="0" fontId="83" fillId="0" borderId="2" xfId="1" applyFont="1" applyBorder="1" applyAlignment="1">
      <alignment horizontal="center"/>
    </xf>
    <xf numFmtId="0" fontId="83" fillId="0" borderId="115" xfId="1" applyFont="1" applyBorder="1" applyAlignment="1">
      <alignment horizontal="center"/>
    </xf>
    <xf numFmtId="0" fontId="83" fillId="0" borderId="25" xfId="1" applyFont="1" applyBorder="1" applyAlignment="1">
      <alignment horizontal="center"/>
    </xf>
    <xf numFmtId="0" fontId="83" fillId="0" borderId="91" xfId="1" applyFont="1" applyBorder="1" applyAlignment="1">
      <alignment horizontal="center"/>
    </xf>
    <xf numFmtId="0" fontId="83" fillId="0" borderId="238" xfId="1" applyFont="1" applyBorder="1" applyAlignment="1">
      <alignment horizontal="center"/>
    </xf>
    <xf numFmtId="0" fontId="83" fillId="0" borderId="65" xfId="1" applyFont="1" applyBorder="1" applyAlignment="1">
      <alignment horizontal="center"/>
    </xf>
    <xf numFmtId="0" fontId="83" fillId="0" borderId="128" xfId="1" applyFont="1" applyBorder="1" applyAlignment="1">
      <alignment horizontal="center"/>
    </xf>
    <xf numFmtId="0" fontId="13" fillId="2" borderId="140" xfId="0" applyFont="1" applyFill="1" applyBorder="1" applyAlignment="1">
      <alignment vertical="center"/>
    </xf>
    <xf numFmtId="0" fontId="0" fillId="0" borderId="248" xfId="0" applyBorder="1"/>
    <xf numFmtId="0" fontId="11" fillId="0" borderId="249" xfId="0" applyFont="1" applyFill="1" applyBorder="1" applyAlignment="1" applyProtection="1">
      <alignment horizontal="center" vertical="center"/>
      <protection locked="0"/>
    </xf>
    <xf numFmtId="0" fontId="11" fillId="0" borderId="250" xfId="0" applyFont="1" applyFill="1" applyBorder="1" applyAlignment="1" applyProtection="1">
      <alignment horizontal="center" vertical="center"/>
      <protection locked="0"/>
    </xf>
    <xf numFmtId="0" fontId="11" fillId="0" borderId="251" xfId="0" applyFont="1" applyBorder="1" applyAlignment="1" applyProtection="1">
      <alignment horizontal="center" vertical="center"/>
    </xf>
    <xf numFmtId="0" fontId="11" fillId="0" borderId="248" xfId="0" applyFont="1" applyBorder="1" applyAlignment="1" applyProtection="1">
      <alignment horizontal="center" vertical="center"/>
    </xf>
    <xf numFmtId="0" fontId="11" fillId="0" borderId="252" xfId="0" applyFont="1" applyBorder="1" applyAlignment="1" applyProtection="1">
      <alignment horizontal="center" vertical="center"/>
    </xf>
    <xf numFmtId="0" fontId="11" fillId="0" borderId="248" xfId="0" applyFont="1" applyFill="1" applyBorder="1" applyAlignment="1" applyProtection="1">
      <alignment horizontal="center" vertical="center"/>
      <protection locked="0"/>
    </xf>
    <xf numFmtId="0" fontId="11" fillId="0" borderId="253" xfId="0" applyFont="1" applyBorder="1" applyAlignment="1" applyProtection="1">
      <alignment horizontal="center" vertical="center"/>
    </xf>
    <xf numFmtId="0" fontId="11" fillId="0" borderId="254" xfId="0" applyFont="1" applyBorder="1" applyAlignment="1" applyProtection="1">
      <alignment horizontal="center" vertical="center"/>
    </xf>
    <xf numFmtId="0" fontId="11" fillId="0" borderId="255" xfId="0" applyFont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3" fillId="9" borderId="0" xfId="0" applyFont="1" applyFill="1" applyBorder="1" applyAlignment="1">
      <alignment horizontal="left" vertical="center"/>
    </xf>
    <xf numFmtId="17" fontId="0" fillId="0" borderId="0" xfId="0" applyNumberFormat="1"/>
    <xf numFmtId="0" fontId="85" fillId="2" borderId="269" xfId="0" applyFont="1" applyFill="1" applyBorder="1" applyAlignment="1">
      <alignment horizontal="left" vertical="center"/>
    </xf>
    <xf numFmtId="0" fontId="85" fillId="2" borderId="67" xfId="0" applyFont="1" applyFill="1" applyBorder="1" applyAlignment="1">
      <alignment horizontal="left" vertical="center"/>
    </xf>
    <xf numFmtId="0" fontId="85" fillId="2" borderId="137" xfId="0" applyFont="1" applyFill="1" applyBorder="1" applyAlignment="1">
      <alignment horizontal="left" vertical="center"/>
    </xf>
    <xf numFmtId="0" fontId="0" fillId="9" borderId="266" xfId="0" applyFill="1" applyBorder="1"/>
    <xf numFmtId="0" fontId="87" fillId="12" borderId="191" xfId="0" applyFont="1" applyFill="1" applyBorder="1" applyAlignment="1">
      <alignment horizontal="center" vertical="center"/>
    </xf>
    <xf numFmtId="0" fontId="88" fillId="9" borderId="190" xfId="0" applyFont="1" applyFill="1" applyBorder="1" applyAlignment="1">
      <alignment horizontal="center" vertical="center"/>
    </xf>
    <xf numFmtId="0" fontId="88" fillId="12" borderId="191" xfId="0" applyFont="1" applyFill="1" applyBorder="1" applyAlignment="1">
      <alignment horizontal="center" vertical="center"/>
    </xf>
    <xf numFmtId="0" fontId="88" fillId="12" borderId="197" xfId="0" applyFont="1" applyFill="1" applyBorder="1" applyAlignment="1">
      <alignment horizontal="center" vertical="center"/>
    </xf>
    <xf numFmtId="0" fontId="88" fillId="12" borderId="235" xfId="0" applyFont="1" applyFill="1" applyBorder="1" applyAlignment="1">
      <alignment horizontal="center" vertical="center"/>
    </xf>
    <xf numFmtId="0" fontId="88" fillId="12" borderId="236" xfId="0" applyFont="1" applyFill="1" applyBorder="1" applyAlignment="1">
      <alignment horizontal="center" vertical="center"/>
    </xf>
    <xf numFmtId="0" fontId="88" fillId="12" borderId="174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horizontal="left" vertical="center"/>
    </xf>
    <xf numFmtId="0" fontId="0" fillId="4" borderId="0" xfId="0" applyFill="1" applyBorder="1" applyAlignment="1">
      <alignment horizontal="left"/>
    </xf>
    <xf numFmtId="0" fontId="49" fillId="9" borderId="21" xfId="0" applyFont="1" applyFill="1" applyBorder="1" applyAlignment="1" applyProtection="1">
      <alignment horizontal="center" vertical="center"/>
    </xf>
    <xf numFmtId="0" fontId="49" fillId="9" borderId="0" xfId="0" applyFont="1" applyFill="1" applyBorder="1" applyAlignment="1" applyProtection="1">
      <alignment horizontal="center" vertical="center"/>
    </xf>
    <xf numFmtId="14" fontId="76" fillId="4" borderId="0" xfId="0" applyNumberFormat="1" applyFont="1" applyFill="1" applyBorder="1" applyAlignment="1">
      <alignment horizontal="left" vertical="center"/>
    </xf>
    <xf numFmtId="0" fontId="43" fillId="9" borderId="289" xfId="0" applyFont="1" applyFill="1" applyBorder="1" applyAlignment="1" applyProtection="1">
      <alignment horizontal="center" vertical="center"/>
    </xf>
    <xf numFmtId="0" fontId="11" fillId="0" borderId="290" xfId="0" applyFont="1" applyFill="1" applyBorder="1" applyAlignment="1" applyProtection="1">
      <alignment horizontal="center" vertical="center"/>
      <protection locked="0"/>
    </xf>
    <xf numFmtId="0" fontId="43" fillId="9" borderId="291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20" fillId="12" borderId="216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vertical="center"/>
    </xf>
    <xf numFmtId="0" fontId="16" fillId="3" borderId="301" xfId="0" applyFont="1" applyFill="1" applyBorder="1" applyAlignment="1">
      <alignment horizontal="center"/>
    </xf>
    <xf numFmtId="0" fontId="16" fillId="9" borderId="301" xfId="0" applyFont="1" applyFill="1" applyBorder="1" applyAlignment="1">
      <alignment horizontal="center"/>
    </xf>
    <xf numFmtId="0" fontId="16" fillId="10" borderId="301" xfId="0" applyFont="1" applyFill="1" applyBorder="1" applyAlignment="1">
      <alignment horizontal="center"/>
    </xf>
    <xf numFmtId="0" fontId="16" fillId="10" borderId="30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13" fillId="2" borderId="119" xfId="0" applyFont="1" applyFill="1" applyBorder="1" applyAlignment="1"/>
    <xf numFmtId="0" fontId="20" fillId="12" borderId="215" xfId="0" applyFont="1" applyFill="1" applyBorder="1" applyAlignment="1">
      <alignment horizontal="center"/>
    </xf>
    <xf numFmtId="0" fontId="20" fillId="0" borderId="216" xfId="0" applyFont="1" applyBorder="1" applyAlignment="1">
      <alignment horizontal="center"/>
    </xf>
    <xf numFmtId="0" fontId="20" fillId="0" borderId="217" xfId="0" applyFont="1" applyBorder="1" applyAlignment="1">
      <alignment horizontal="center"/>
    </xf>
    <xf numFmtId="0" fontId="16" fillId="3" borderId="303" xfId="0" applyFont="1" applyFill="1" applyBorder="1" applyAlignment="1">
      <alignment horizontal="center"/>
    </xf>
    <xf numFmtId="0" fontId="16" fillId="3" borderId="165" xfId="0" applyFont="1" applyFill="1" applyBorder="1" applyAlignment="1" applyProtection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305" xfId="0" applyFont="1" applyFill="1" applyBorder="1" applyAlignment="1">
      <alignment horizontal="center" vertical="center"/>
    </xf>
    <xf numFmtId="0" fontId="11" fillId="9" borderId="306" xfId="0" applyFont="1" applyFill="1" applyBorder="1" applyAlignment="1">
      <alignment horizontal="center" vertical="center"/>
    </xf>
    <xf numFmtId="0" fontId="9" fillId="9" borderId="22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4" fillId="9" borderId="124" xfId="0" applyFont="1" applyFill="1" applyBorder="1" applyAlignment="1"/>
    <xf numFmtId="0" fontId="44" fillId="9" borderId="120" xfId="0" applyFont="1" applyFill="1" applyBorder="1" applyAlignment="1"/>
    <xf numFmtId="0" fontId="44" fillId="9" borderId="21" xfId="0" applyFont="1" applyFill="1" applyBorder="1" applyAlignment="1"/>
    <xf numFmtId="0" fontId="44" fillId="9" borderId="0" xfId="0" applyFont="1" applyFill="1" applyBorder="1" applyAlignment="1"/>
    <xf numFmtId="0" fontId="23" fillId="8" borderId="66" xfId="0" applyFont="1" applyFill="1" applyBorder="1" applyAlignment="1">
      <alignment vertical="center"/>
    </xf>
    <xf numFmtId="0" fontId="25" fillId="8" borderId="67" xfId="0" applyFont="1" applyFill="1" applyBorder="1" applyAlignment="1">
      <alignment vertical="center"/>
    </xf>
    <xf numFmtId="0" fontId="25" fillId="8" borderId="68" xfId="0" applyFont="1" applyFill="1" applyBorder="1" applyAlignment="1">
      <alignment vertical="center"/>
    </xf>
    <xf numFmtId="0" fontId="0" fillId="0" borderId="266" xfId="0" applyBorder="1"/>
    <xf numFmtId="0" fontId="0" fillId="0" borderId="321" xfId="0" applyBorder="1"/>
    <xf numFmtId="0" fontId="0" fillId="9" borderId="0" xfId="0" applyFill="1" applyBorder="1" applyAlignment="1">
      <alignment wrapText="1"/>
    </xf>
    <xf numFmtId="0" fontId="44" fillId="9" borderId="318" xfId="0" applyFont="1" applyFill="1" applyBorder="1"/>
    <xf numFmtId="0" fontId="0" fillId="0" borderId="326" xfId="0" applyBorder="1"/>
    <xf numFmtId="0" fontId="0" fillId="9" borderId="319" xfId="0" applyFill="1" applyBorder="1"/>
    <xf numFmtId="0" fontId="76" fillId="4" borderId="26" xfId="0" applyFont="1" applyFill="1" applyBorder="1" applyAlignment="1">
      <alignment vertical="center"/>
    </xf>
    <xf numFmtId="0" fontId="9" fillId="4" borderId="0" xfId="0" applyFont="1" applyFill="1" applyBorder="1" applyAlignment="1"/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16" fillId="9" borderId="323" xfId="0" applyFont="1" applyFill="1" applyBorder="1" applyAlignment="1">
      <alignment horizontal="center" vertical="center"/>
    </xf>
    <xf numFmtId="0" fontId="43" fillId="9" borderId="324" xfId="0" applyFont="1" applyFill="1" applyBorder="1" applyAlignment="1">
      <alignment horizontal="left" vertical="center"/>
    </xf>
    <xf numFmtId="0" fontId="15" fillId="9" borderId="324" xfId="0" applyFont="1" applyFill="1" applyBorder="1" applyAlignment="1">
      <alignment horizontal="center" vertical="center"/>
    </xf>
    <xf numFmtId="0" fontId="5" fillId="9" borderId="324" xfId="0" applyFont="1" applyFill="1" applyBorder="1" applyAlignment="1">
      <alignment horizontal="center" vertical="center"/>
    </xf>
    <xf numFmtId="0" fontId="5" fillId="9" borderId="325" xfId="0" applyFont="1" applyFill="1" applyBorder="1" applyAlignment="1">
      <alignment horizontal="center" vertical="center"/>
    </xf>
    <xf numFmtId="0" fontId="16" fillId="2" borderId="275" xfId="0" applyFont="1" applyFill="1" applyBorder="1" applyAlignment="1">
      <alignment horizontal="center" vertical="center"/>
    </xf>
    <xf numFmtId="0" fontId="23" fillId="2" borderId="275" xfId="0" applyFont="1" applyFill="1" applyBorder="1" applyAlignment="1">
      <alignment horizontal="center" vertical="center"/>
    </xf>
    <xf numFmtId="0" fontId="16" fillId="2" borderId="335" xfId="0" applyFont="1" applyFill="1" applyBorder="1" applyAlignment="1">
      <alignment horizontal="center" vertical="center"/>
    </xf>
    <xf numFmtId="0" fontId="23" fillId="2" borderId="267" xfId="0" applyFont="1" applyFill="1" applyBorder="1" applyAlignment="1">
      <alignment horizontal="center" vertical="center"/>
    </xf>
    <xf numFmtId="0" fontId="23" fillId="2" borderId="320" xfId="0" applyFont="1" applyFill="1" applyBorder="1" applyAlignment="1">
      <alignment horizontal="center" vertical="center"/>
    </xf>
    <xf numFmtId="0" fontId="15" fillId="2" borderId="336" xfId="0" applyFont="1" applyFill="1" applyBorder="1" applyAlignment="1">
      <alignment horizontal="left" vertical="center"/>
    </xf>
    <xf numFmtId="0" fontId="15" fillId="2" borderId="337" xfId="0" applyFont="1" applyFill="1" applyBorder="1" applyAlignment="1">
      <alignment horizontal="left" vertical="center"/>
    </xf>
    <xf numFmtId="0" fontId="15" fillId="2" borderId="283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9" borderId="321" xfId="0" applyFill="1" applyBorder="1"/>
    <xf numFmtId="0" fontId="0" fillId="9" borderId="315" xfId="0" applyFill="1" applyBorder="1"/>
    <xf numFmtId="0" fontId="9" fillId="8" borderId="327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vertical="center"/>
    </xf>
    <xf numFmtId="0" fontId="11" fillId="0" borderId="275" xfId="0" applyFont="1" applyBorder="1" applyAlignment="1">
      <alignment horizontal="center" vertical="center"/>
    </xf>
    <xf numFmtId="0" fontId="9" fillId="8" borderId="330" xfId="0" applyFont="1" applyFill="1" applyBorder="1" applyAlignment="1">
      <alignment horizontal="center" vertical="center"/>
    </xf>
    <xf numFmtId="0" fontId="9" fillId="8" borderId="329" xfId="0" applyFont="1" applyFill="1" applyBorder="1" applyAlignment="1">
      <alignment horizontal="center" vertical="center"/>
    </xf>
    <xf numFmtId="0" fontId="9" fillId="8" borderId="331" xfId="0" applyFont="1" applyFill="1" applyBorder="1" applyAlignment="1">
      <alignment horizontal="center" vertical="center"/>
    </xf>
    <xf numFmtId="0" fontId="43" fillId="9" borderId="137" xfId="0" applyFont="1" applyFill="1" applyBorder="1" applyAlignment="1" applyProtection="1">
      <alignment horizontal="center" vertical="center"/>
    </xf>
    <xf numFmtId="0" fontId="22" fillId="9" borderId="354" xfId="0" applyFont="1" applyFill="1" applyBorder="1" applyAlignment="1"/>
    <xf numFmtId="0" fontId="22" fillId="9" borderId="356" xfId="0" applyFont="1" applyFill="1" applyBorder="1" applyAlignment="1"/>
    <xf numFmtId="0" fontId="13" fillId="2" borderId="357" xfId="0" applyFont="1" applyFill="1" applyBorder="1" applyAlignment="1">
      <alignment horizontal="center" vertical="center" wrapText="1"/>
    </xf>
    <xf numFmtId="0" fontId="11" fillId="2" borderId="358" xfId="0" applyFont="1" applyFill="1" applyBorder="1" applyAlignment="1" applyProtection="1">
      <alignment horizontal="right" vertical="center"/>
    </xf>
    <xf numFmtId="0" fontId="11" fillId="2" borderId="360" xfId="0" applyFont="1" applyFill="1" applyBorder="1" applyAlignment="1" applyProtection="1">
      <alignment horizontal="right" vertical="center"/>
    </xf>
    <xf numFmtId="0" fontId="11" fillId="8" borderId="360" xfId="0" applyFont="1" applyFill="1" applyBorder="1" applyAlignment="1">
      <alignment horizontal="right"/>
    </xf>
    <xf numFmtId="0" fontId="11" fillId="2" borderId="362" xfId="0" applyFont="1" applyFill="1" applyBorder="1" applyAlignment="1" applyProtection="1">
      <alignment horizontal="right" vertical="center"/>
    </xf>
    <xf numFmtId="0" fontId="11" fillId="8" borderId="364" xfId="0" applyFont="1" applyFill="1" applyBorder="1" applyAlignment="1" applyProtection="1">
      <alignment horizontal="right" vertical="center"/>
    </xf>
    <xf numFmtId="0" fontId="11" fillId="2" borderId="365" xfId="0" applyFont="1" applyFill="1" applyBorder="1" applyAlignment="1" applyProtection="1">
      <alignment horizontal="right" vertical="center"/>
    </xf>
    <xf numFmtId="0" fontId="11" fillId="8" borderId="365" xfId="0" applyFont="1" applyFill="1" applyBorder="1" applyAlignment="1">
      <alignment horizontal="right"/>
    </xf>
    <xf numFmtId="0" fontId="11" fillId="11" borderId="365" xfId="0" applyFont="1" applyFill="1" applyBorder="1" applyAlignment="1" applyProtection="1">
      <alignment horizontal="right" vertical="center"/>
    </xf>
    <xf numFmtId="0" fontId="11" fillId="2" borderId="366" xfId="0" applyFont="1" applyFill="1" applyBorder="1" applyAlignment="1" applyProtection="1">
      <alignment horizontal="right" vertical="center"/>
    </xf>
    <xf numFmtId="0" fontId="0" fillId="0" borderId="0" xfId="0" quotePrefix="1"/>
    <xf numFmtId="0" fontId="16" fillId="2" borderId="31" xfId="0" applyFont="1" applyFill="1" applyBorder="1" applyAlignment="1">
      <alignment horizontal="center" vertical="center"/>
    </xf>
    <xf numFmtId="0" fontId="4" fillId="17" borderId="22" xfId="0" applyFont="1" applyFill="1" applyBorder="1"/>
    <xf numFmtId="0" fontId="0" fillId="17" borderId="0" xfId="0" applyFill="1" applyBorder="1"/>
    <xf numFmtId="0" fontId="0" fillId="17" borderId="22" xfId="0" applyFill="1" applyBorder="1"/>
    <xf numFmtId="0" fontId="4" fillId="17" borderId="0" xfId="0" applyFont="1" applyFill="1" applyBorder="1"/>
    <xf numFmtId="0" fontId="46" fillId="17" borderId="22" xfId="0" applyFont="1" applyFill="1" applyBorder="1" applyAlignment="1">
      <alignment horizontal="center"/>
    </xf>
    <xf numFmtId="0" fontId="7" fillId="17" borderId="0" xfId="0" applyFont="1" applyFill="1" applyBorder="1"/>
    <xf numFmtId="0" fontId="0" fillId="17" borderId="0" xfId="0" applyFill="1" applyBorder="1" applyAlignment="1"/>
    <xf numFmtId="0" fontId="16" fillId="0" borderId="207" xfId="0" applyFont="1" applyFill="1" applyBorder="1" applyAlignment="1" applyProtection="1">
      <alignment horizontal="center" vertical="center"/>
    </xf>
    <xf numFmtId="0" fontId="16" fillId="0" borderId="145" xfId="0" applyFont="1" applyFill="1" applyBorder="1" applyAlignment="1" applyProtection="1">
      <alignment horizontal="center" vertical="center"/>
    </xf>
    <xf numFmtId="0" fontId="93" fillId="0" borderId="145" xfId="0" applyFont="1" applyFill="1" applyBorder="1" applyAlignment="1" applyProtection="1">
      <alignment horizontal="center" vertical="center"/>
    </xf>
    <xf numFmtId="0" fontId="16" fillId="0" borderId="352" xfId="0" applyFont="1" applyFill="1" applyBorder="1" applyAlignment="1" applyProtection="1">
      <alignment horizontal="center" vertical="center"/>
    </xf>
    <xf numFmtId="0" fontId="16" fillId="12" borderId="207" xfId="0" applyFont="1" applyFill="1" applyBorder="1" applyAlignment="1" applyProtection="1">
      <alignment horizontal="center" vertical="center"/>
    </xf>
    <xf numFmtId="0" fontId="16" fillId="12" borderId="145" xfId="0" applyFont="1" applyFill="1" applyBorder="1" applyAlignment="1" applyProtection="1">
      <alignment horizontal="center" vertical="center"/>
    </xf>
    <xf numFmtId="0" fontId="93" fillId="12" borderId="145" xfId="0" applyFont="1" applyFill="1" applyBorder="1" applyAlignment="1" applyProtection="1">
      <alignment horizontal="center" vertical="center"/>
    </xf>
    <xf numFmtId="0" fontId="16" fillId="12" borderId="352" xfId="0" applyFont="1" applyFill="1" applyBorder="1" applyAlignment="1" applyProtection="1">
      <alignment horizontal="center" vertical="center"/>
    </xf>
    <xf numFmtId="0" fontId="16" fillId="0" borderId="210" xfId="0" applyFont="1" applyFill="1" applyBorder="1" applyAlignment="1" applyProtection="1">
      <alignment horizontal="center" vertical="center"/>
    </xf>
    <xf numFmtId="0" fontId="16" fillId="0" borderId="373" xfId="0" applyFont="1" applyFill="1" applyBorder="1" applyAlignment="1" applyProtection="1">
      <alignment horizontal="center" vertical="center"/>
    </xf>
    <xf numFmtId="0" fontId="16" fillId="12" borderId="210" xfId="0" applyFont="1" applyFill="1" applyBorder="1" applyAlignment="1" applyProtection="1">
      <alignment horizontal="center" vertical="center"/>
    </xf>
    <xf numFmtId="0" fontId="16" fillId="0" borderId="374" xfId="0" applyFont="1" applyFill="1" applyBorder="1" applyAlignment="1" applyProtection="1">
      <alignment horizontal="center" vertical="center"/>
    </xf>
    <xf numFmtId="0" fontId="13" fillId="0" borderId="191" xfId="0" applyFont="1" applyFill="1" applyBorder="1" applyAlignment="1" applyProtection="1">
      <alignment horizontal="center" vertical="center"/>
    </xf>
    <xf numFmtId="0" fontId="13" fillId="0" borderId="191" xfId="0" applyFont="1" applyFill="1" applyBorder="1" applyAlignment="1" applyProtection="1">
      <alignment horizontal="center"/>
    </xf>
    <xf numFmtId="0" fontId="13" fillId="12" borderId="191" xfId="0" applyFont="1" applyFill="1" applyBorder="1" applyAlignment="1" applyProtection="1">
      <alignment horizontal="center" vertical="center"/>
    </xf>
    <xf numFmtId="0" fontId="55" fillId="12" borderId="191" xfId="0" applyFont="1" applyFill="1" applyBorder="1" applyAlignment="1" applyProtection="1">
      <alignment horizontal="center" vertical="center"/>
    </xf>
    <xf numFmtId="0" fontId="13" fillId="12" borderId="191" xfId="0" applyFont="1" applyFill="1" applyBorder="1" applyAlignment="1" applyProtection="1">
      <alignment horizontal="center"/>
    </xf>
    <xf numFmtId="0" fontId="50" fillId="12" borderId="351" xfId="0" applyFont="1" applyFill="1" applyBorder="1" applyAlignment="1" applyProtection="1">
      <alignment horizontal="center" vertical="center"/>
    </xf>
    <xf numFmtId="0" fontId="20" fillId="14" borderId="309" xfId="0" applyFont="1" applyFill="1" applyBorder="1" applyAlignment="1">
      <alignment horizontal="center" vertical="center" wrapText="1"/>
    </xf>
    <xf numFmtId="0" fontId="20" fillId="14" borderId="307" xfId="0" applyFont="1" applyFill="1" applyBorder="1" applyAlignment="1">
      <alignment horizontal="center" vertical="center" wrapText="1"/>
    </xf>
    <xf numFmtId="0" fontId="20" fillId="14" borderId="349" xfId="0" applyFont="1" applyFill="1" applyBorder="1" applyAlignment="1">
      <alignment horizontal="center" vertical="center"/>
    </xf>
    <xf numFmtId="0" fontId="20" fillId="14" borderId="297" xfId="0" applyFont="1" applyFill="1" applyBorder="1" applyAlignment="1">
      <alignment horizontal="center" vertical="center"/>
    </xf>
    <xf numFmtId="0" fontId="20" fillId="14" borderId="304" xfId="0" applyFont="1" applyFill="1" applyBorder="1"/>
    <xf numFmtId="0" fontId="20" fillId="14" borderId="350" xfId="0" applyFont="1" applyFill="1" applyBorder="1"/>
    <xf numFmtId="0" fontId="20" fillId="14" borderId="350" xfId="0" applyFont="1" applyFill="1" applyBorder="1" applyAlignment="1"/>
    <xf numFmtId="0" fontId="20" fillId="14" borderId="298" xfId="0" applyFont="1" applyFill="1" applyBorder="1"/>
    <xf numFmtId="0" fontId="20" fillId="14" borderId="299" xfId="0" applyFont="1" applyFill="1" applyBorder="1"/>
    <xf numFmtId="0" fontId="13" fillId="12" borderId="375" xfId="0" applyFont="1" applyFill="1" applyBorder="1" applyAlignment="1" applyProtection="1">
      <alignment horizontal="center" vertical="center"/>
    </xf>
    <xf numFmtId="0" fontId="13" fillId="12" borderId="376" xfId="0" applyFont="1" applyFill="1" applyBorder="1" applyAlignment="1" applyProtection="1">
      <alignment horizontal="center" vertical="center"/>
    </xf>
    <xf numFmtId="0" fontId="16" fillId="12" borderId="166" xfId="0" applyFont="1" applyFill="1" applyBorder="1" applyAlignment="1">
      <alignment horizontal="center" vertical="center"/>
    </xf>
    <xf numFmtId="0" fontId="15" fillId="12" borderId="182" xfId="0" applyFont="1" applyFill="1" applyBorder="1" applyAlignment="1">
      <alignment horizontal="center" vertical="center"/>
    </xf>
    <xf numFmtId="0" fontId="15" fillId="12" borderId="167" xfId="0" applyFont="1" applyFill="1" applyBorder="1" applyAlignment="1">
      <alignment horizontal="center" vertical="center"/>
    </xf>
    <xf numFmtId="0" fontId="16" fillId="12" borderId="150" xfId="0" applyFont="1" applyFill="1" applyBorder="1" applyAlignment="1">
      <alignment horizontal="center" vertical="center"/>
    </xf>
    <xf numFmtId="0" fontId="15" fillId="12" borderId="181" xfId="0" applyFont="1" applyFill="1" applyBorder="1" applyAlignment="1">
      <alignment horizontal="center" vertical="center"/>
    </xf>
    <xf numFmtId="0" fontId="15" fillId="12" borderId="151" xfId="0" applyFont="1" applyFill="1" applyBorder="1" applyAlignment="1">
      <alignment horizontal="center" vertical="center"/>
    </xf>
    <xf numFmtId="0" fontId="15" fillId="12" borderId="293" xfId="0" applyFont="1" applyFill="1" applyBorder="1" applyAlignment="1">
      <alignment horizontal="center" vertical="center"/>
    </xf>
    <xf numFmtId="0" fontId="15" fillId="12" borderId="295" xfId="0" applyFont="1" applyFill="1" applyBorder="1" applyAlignment="1">
      <alignment horizontal="center" vertical="center"/>
    </xf>
    <xf numFmtId="0" fontId="15" fillId="12" borderId="184" xfId="0" applyFont="1" applyFill="1" applyBorder="1" applyAlignment="1">
      <alignment horizontal="center" vertical="center"/>
    </xf>
    <xf numFmtId="0" fontId="15" fillId="0" borderId="293" xfId="0" applyFont="1" applyFill="1" applyBorder="1" applyAlignment="1">
      <alignment horizontal="center" vertical="center"/>
    </xf>
    <xf numFmtId="0" fontId="15" fillId="0" borderId="295" xfId="0" applyFont="1" applyFill="1" applyBorder="1" applyAlignment="1">
      <alignment horizontal="center" vertical="center"/>
    </xf>
    <xf numFmtId="0" fontId="16" fillId="10" borderId="150" xfId="0" applyFont="1" applyFill="1" applyBorder="1" applyAlignment="1">
      <alignment horizontal="center" vertical="center"/>
    </xf>
    <xf numFmtId="0" fontId="15" fillId="10" borderId="293" xfId="0" applyFont="1" applyFill="1" applyBorder="1" applyAlignment="1">
      <alignment horizontal="center" vertical="center"/>
    </xf>
    <xf numFmtId="0" fontId="15" fillId="10" borderId="295" xfId="0" applyFont="1" applyFill="1" applyBorder="1" applyAlignment="1">
      <alignment horizontal="center" vertical="center"/>
    </xf>
    <xf numFmtId="0" fontId="15" fillId="10" borderId="316" xfId="0" applyFont="1" applyFill="1" applyBorder="1" applyAlignment="1">
      <alignment horizontal="center" vertical="center"/>
    </xf>
    <xf numFmtId="0" fontId="16" fillId="10" borderId="152" xfId="0" applyFont="1" applyFill="1" applyBorder="1" applyAlignment="1">
      <alignment horizontal="center" vertical="center"/>
    </xf>
    <xf numFmtId="0" fontId="15" fillId="10" borderId="292" xfId="0" applyFont="1" applyFill="1" applyBorder="1" applyAlignment="1">
      <alignment horizontal="center" vertical="center"/>
    </xf>
    <xf numFmtId="0" fontId="15" fillId="10" borderId="294" xfId="0" applyFont="1" applyFill="1" applyBorder="1" applyAlignment="1">
      <alignment horizontal="center" vertical="center"/>
    </xf>
    <xf numFmtId="0" fontId="15" fillId="10" borderId="317" xfId="0" applyFont="1" applyFill="1" applyBorder="1" applyAlignment="1">
      <alignment horizontal="center" vertical="center"/>
    </xf>
    <xf numFmtId="0" fontId="16" fillId="2" borderId="382" xfId="0" applyFont="1" applyFill="1" applyBorder="1" applyAlignment="1" applyProtection="1">
      <alignment horizontal="center" vertical="center"/>
    </xf>
    <xf numFmtId="0" fontId="13" fillId="2" borderId="383" xfId="0" applyFont="1" applyFill="1" applyBorder="1" applyAlignment="1">
      <alignment horizontal="center" vertical="center"/>
    </xf>
    <xf numFmtId="0" fontId="11" fillId="0" borderId="284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286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/>
    </xf>
    <xf numFmtId="0" fontId="0" fillId="0" borderId="311" xfId="0" applyFill="1" applyBorder="1" applyAlignment="1">
      <alignment wrapText="1"/>
    </xf>
    <xf numFmtId="0" fontId="0" fillId="0" borderId="312" xfId="0" applyFill="1" applyBorder="1" applyAlignment="1">
      <alignment wrapText="1"/>
    </xf>
    <xf numFmtId="0" fontId="0" fillId="0" borderId="313" xfId="0" applyFill="1" applyBorder="1" applyAlignment="1">
      <alignment wrapText="1"/>
    </xf>
    <xf numFmtId="0" fontId="11" fillId="12" borderId="285" xfId="0" applyFont="1" applyFill="1" applyBorder="1" applyAlignment="1">
      <alignment horizontal="center" vertical="center"/>
    </xf>
    <xf numFmtId="0" fontId="11" fillId="12" borderId="154" xfId="0" applyFont="1" applyFill="1" applyBorder="1" applyAlignment="1">
      <alignment horizontal="center" vertical="center"/>
    </xf>
    <xf numFmtId="0" fontId="11" fillId="12" borderId="284" xfId="0" applyFont="1" applyFill="1" applyBorder="1" applyAlignment="1">
      <alignment horizontal="center" vertical="center"/>
    </xf>
    <xf numFmtId="0" fontId="11" fillId="12" borderId="150" xfId="0" applyFont="1" applyFill="1" applyBorder="1" applyAlignment="1">
      <alignment horizontal="center" vertical="center"/>
    </xf>
    <xf numFmtId="0" fontId="11" fillId="12" borderId="310" xfId="0" applyFont="1" applyFill="1" applyBorder="1" applyAlignment="1">
      <alignment horizontal="center" vertical="center" wrapText="1"/>
    </xf>
    <xf numFmtId="0" fontId="11" fillId="12" borderId="308" xfId="0" applyFont="1" applyFill="1" applyBorder="1" applyAlignment="1">
      <alignment horizontal="center" vertical="center" wrapText="1"/>
    </xf>
    <xf numFmtId="0" fontId="11" fillId="12" borderId="307" xfId="0" applyFont="1" applyFill="1" applyBorder="1" applyAlignment="1">
      <alignment horizontal="center" vertical="center" wrapText="1"/>
    </xf>
    <xf numFmtId="0" fontId="11" fillId="12" borderId="309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0" fontId="11" fillId="12" borderId="209" xfId="0" applyFont="1" applyFill="1" applyBorder="1" applyAlignment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212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 vertical="center"/>
    </xf>
    <xf numFmtId="0" fontId="11" fillId="10" borderId="2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6" fillId="2" borderId="80" xfId="0" applyFont="1" applyFill="1" applyBorder="1" applyAlignment="1">
      <alignment horizontal="center" vertical="center"/>
    </xf>
    <xf numFmtId="0" fontId="11" fillId="12" borderId="187" xfId="0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horizontal="center" vertical="center"/>
    </xf>
    <xf numFmtId="0" fontId="11" fillId="12" borderId="181" xfId="0" applyFont="1" applyFill="1" applyBorder="1" applyAlignment="1">
      <alignment horizontal="center" vertical="center"/>
    </xf>
    <xf numFmtId="0" fontId="11" fillId="0" borderId="40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5" fillId="0" borderId="153" xfId="0" applyNumberFormat="1" applyFont="1" applyFill="1" applyBorder="1" applyAlignment="1" applyProtection="1">
      <alignment horizontal="center" vertical="center"/>
    </xf>
    <xf numFmtId="0" fontId="15" fillId="0" borderId="154" xfId="0" applyNumberFormat="1" applyFont="1" applyFill="1" applyBorder="1" applyAlignment="1" applyProtection="1">
      <alignment horizontal="center" vertical="center"/>
    </xf>
    <xf numFmtId="0" fontId="15" fillId="0" borderId="156" xfId="0" applyNumberFormat="1" applyFont="1" applyFill="1" applyBorder="1" applyAlignment="1" applyProtection="1">
      <alignment horizontal="center" vertical="center"/>
    </xf>
    <xf numFmtId="0" fontId="15" fillId="0" borderId="150" xfId="0" applyNumberFormat="1" applyFont="1" applyFill="1" applyBorder="1" applyAlignment="1" applyProtection="1">
      <alignment horizontal="center" vertical="center"/>
    </xf>
    <xf numFmtId="0" fontId="11" fillId="0" borderId="157" xfId="0" applyNumberFormat="1" applyFont="1" applyFill="1" applyBorder="1" applyAlignment="1" applyProtection="1">
      <alignment horizontal="center" vertical="center"/>
    </xf>
    <xf numFmtId="0" fontId="11" fillId="0" borderId="152" xfId="0" applyNumberFormat="1" applyFont="1" applyFill="1" applyBorder="1" applyAlignment="1" applyProtection="1">
      <alignment horizontal="center" vertical="center"/>
    </xf>
    <xf numFmtId="0" fontId="15" fillId="0" borderId="162" xfId="0" applyNumberFormat="1" applyFont="1" applyFill="1" applyBorder="1" applyAlignment="1" applyProtection="1">
      <alignment horizontal="center" vertical="center"/>
    </xf>
    <xf numFmtId="0" fontId="15" fillId="0" borderId="163" xfId="0" applyNumberFormat="1" applyFont="1" applyFill="1" applyBorder="1" applyAlignment="1" applyProtection="1">
      <alignment horizontal="center" vertical="center"/>
    </xf>
    <xf numFmtId="0" fontId="11" fillId="0" borderId="159" xfId="0" applyNumberFormat="1" applyFont="1" applyFill="1" applyBorder="1" applyAlignment="1" applyProtection="1">
      <alignment horizontal="center" vertical="center"/>
    </xf>
    <xf numFmtId="0" fontId="11" fillId="0" borderId="160" xfId="0" applyNumberFormat="1" applyFont="1" applyFill="1" applyBorder="1" applyAlignment="1" applyProtection="1">
      <alignment horizontal="center" vertical="center"/>
    </xf>
    <xf numFmtId="0" fontId="15" fillId="0" borderId="408" xfId="0" applyNumberFormat="1" applyFont="1" applyFill="1" applyBorder="1" applyAlignment="1" applyProtection="1">
      <alignment horizontal="center" vertical="center"/>
    </xf>
    <xf numFmtId="0" fontId="15" fillId="0" borderId="413" xfId="0" applyNumberFormat="1" applyFont="1" applyFill="1" applyBorder="1" applyAlignment="1" applyProtection="1">
      <alignment horizontal="center" vertical="center"/>
    </xf>
    <xf numFmtId="0" fontId="11" fillId="0" borderId="414" xfId="0" applyNumberFormat="1" applyFont="1" applyFill="1" applyBorder="1" applyAlignment="1" applyProtection="1">
      <alignment horizontal="center" vertical="center"/>
    </xf>
    <xf numFmtId="0" fontId="15" fillId="0" borderId="411" xfId="0" applyNumberFormat="1" applyFont="1" applyFill="1" applyBorder="1" applyAlignment="1" applyProtection="1">
      <alignment horizontal="center" vertical="center"/>
    </xf>
    <xf numFmtId="0" fontId="15" fillId="0" borderId="415" xfId="0" applyNumberFormat="1" applyFont="1" applyFill="1" applyBorder="1" applyAlignment="1" applyProtection="1">
      <alignment horizontal="center" vertical="center"/>
    </xf>
    <xf numFmtId="0" fontId="11" fillId="0" borderId="416" xfId="0" applyNumberFormat="1" applyFont="1" applyFill="1" applyBorder="1" applyAlignment="1" applyProtection="1">
      <alignment horizontal="center" vertical="center"/>
    </xf>
    <xf numFmtId="0" fontId="15" fillId="0" borderId="412" xfId="0" applyNumberFormat="1" applyFont="1" applyFill="1" applyBorder="1" applyAlignment="1" applyProtection="1">
      <alignment horizontal="center" vertical="center"/>
    </xf>
    <xf numFmtId="0" fontId="15" fillId="0" borderId="417" xfId="0" applyNumberFormat="1" applyFont="1" applyFill="1" applyBorder="1" applyAlignment="1" applyProtection="1">
      <alignment horizontal="center" vertical="center"/>
    </xf>
    <xf numFmtId="0" fontId="11" fillId="0" borderId="418" xfId="0" applyNumberFormat="1" applyFont="1" applyFill="1" applyBorder="1" applyAlignment="1" applyProtection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16" fillId="0" borderId="177" xfId="0" applyFont="1" applyFill="1" applyBorder="1" applyAlignment="1">
      <alignment horizontal="center" vertical="center"/>
    </xf>
    <xf numFmtId="0" fontId="16" fillId="0" borderId="178" xfId="0" applyFont="1" applyFill="1" applyBorder="1" applyAlignment="1">
      <alignment horizontal="center" vertical="center"/>
    </xf>
    <xf numFmtId="0" fontId="16" fillId="0" borderId="144" xfId="0" applyFont="1" applyFill="1" applyBorder="1" applyAlignment="1">
      <alignment horizontal="center" vertical="center"/>
    </xf>
    <xf numFmtId="0" fontId="16" fillId="0" borderId="145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/>
    </xf>
    <xf numFmtId="0" fontId="16" fillId="12" borderId="144" xfId="0" applyFont="1" applyFill="1" applyBorder="1" applyAlignment="1">
      <alignment horizontal="center" vertical="center"/>
    </xf>
    <xf numFmtId="0" fontId="16" fillId="12" borderId="145" xfId="0" applyFont="1" applyFill="1" applyBorder="1" applyAlignment="1">
      <alignment horizontal="center" vertical="center"/>
    </xf>
    <xf numFmtId="0" fontId="16" fillId="12" borderId="146" xfId="0" applyFont="1" applyFill="1" applyBorder="1" applyAlignment="1">
      <alignment horizontal="center" vertical="center"/>
    </xf>
    <xf numFmtId="0" fontId="16" fillId="12" borderId="147" xfId="0" applyFont="1" applyFill="1" applyBorder="1" applyAlignment="1">
      <alignment horizontal="center" vertical="center"/>
    </xf>
    <xf numFmtId="0" fontId="16" fillId="12" borderId="148" xfId="0" applyFont="1" applyFill="1" applyBorder="1" applyAlignment="1">
      <alignment horizontal="center" vertical="center"/>
    </xf>
    <xf numFmtId="0" fontId="13" fillId="0" borderId="206" xfId="0" applyFont="1" applyFill="1" applyBorder="1" applyAlignment="1">
      <alignment horizontal="center" vertical="center"/>
    </xf>
    <xf numFmtId="0" fontId="13" fillId="0" borderId="207" xfId="0" applyFont="1" applyFill="1" applyBorder="1" applyAlignment="1">
      <alignment horizontal="center" vertical="center"/>
    </xf>
    <xf numFmtId="0" fontId="13" fillId="0" borderId="207" xfId="0" applyFont="1" applyFill="1" applyBorder="1" applyAlignment="1">
      <alignment horizontal="center"/>
    </xf>
    <xf numFmtId="0" fontId="11" fillId="0" borderId="208" xfId="0" applyFont="1" applyFill="1" applyBorder="1" applyAlignment="1">
      <alignment horizontal="center"/>
    </xf>
    <xf numFmtId="0" fontId="13" fillId="0" borderId="209" xfId="0" applyFont="1" applyFill="1" applyBorder="1" applyAlignment="1">
      <alignment horizontal="center" vertical="center"/>
    </xf>
    <xf numFmtId="0" fontId="11" fillId="0" borderId="145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/>
    </xf>
    <xf numFmtId="0" fontId="11" fillId="0" borderId="146" xfId="0" applyFont="1" applyFill="1" applyBorder="1" applyAlignment="1">
      <alignment horizontal="center"/>
    </xf>
    <xf numFmtId="0" fontId="13" fillId="12" borderId="209" xfId="0" applyFont="1" applyFill="1" applyBorder="1" applyAlignment="1">
      <alignment horizontal="center" vertical="center"/>
    </xf>
    <xf numFmtId="0" fontId="13" fillId="12" borderId="145" xfId="0" applyFont="1" applyFill="1" applyBorder="1" applyAlignment="1">
      <alignment horizontal="center" vertical="center"/>
    </xf>
    <xf numFmtId="0" fontId="13" fillId="12" borderId="145" xfId="0" applyFont="1" applyFill="1" applyBorder="1" applyAlignment="1">
      <alignment horizontal="center"/>
    </xf>
    <xf numFmtId="0" fontId="11" fillId="12" borderId="146" xfId="0" applyFont="1" applyFill="1" applyBorder="1" applyAlignment="1">
      <alignment horizontal="center"/>
    </xf>
    <xf numFmtId="0" fontId="11" fillId="0" borderId="454" xfId="0" applyFont="1" applyFill="1" applyBorder="1" applyAlignment="1">
      <alignment horizontal="center" vertical="center"/>
    </xf>
    <xf numFmtId="0" fontId="11" fillId="0" borderId="257" xfId="0" applyFont="1" applyFill="1" applyBorder="1" applyAlignment="1">
      <alignment horizontal="center" vertical="center"/>
    </xf>
    <xf numFmtId="0" fontId="11" fillId="12" borderId="45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0" borderId="456" xfId="0" applyFont="1" applyFill="1" applyBorder="1" applyAlignment="1">
      <alignment horizontal="center" vertical="center"/>
    </xf>
    <xf numFmtId="0" fontId="13" fillId="12" borderId="458" xfId="0" applyFont="1" applyFill="1" applyBorder="1" applyAlignment="1">
      <alignment horizontal="center" vertical="center"/>
    </xf>
    <xf numFmtId="0" fontId="13" fillId="0" borderId="128" xfId="0" applyFont="1" applyFill="1" applyBorder="1" applyAlignment="1">
      <alignment horizontal="center" vertical="center"/>
    </xf>
    <xf numFmtId="0" fontId="13" fillId="12" borderId="457" xfId="0" applyFont="1" applyFill="1" applyBorder="1" applyAlignment="1">
      <alignment horizontal="center" vertical="center"/>
    </xf>
    <xf numFmtId="0" fontId="13" fillId="0" borderId="458" xfId="0" applyFont="1" applyFill="1" applyBorder="1" applyAlignment="1">
      <alignment horizontal="center" vertical="center"/>
    </xf>
    <xf numFmtId="0" fontId="13" fillId="12" borderId="460" xfId="0" applyFont="1" applyFill="1" applyBorder="1" applyAlignment="1">
      <alignment horizontal="center" vertical="center"/>
    </xf>
    <xf numFmtId="0" fontId="13" fillId="0" borderId="459" xfId="0" applyFont="1" applyFill="1" applyBorder="1" applyAlignment="1">
      <alignment horizontal="center" vertical="center"/>
    </xf>
    <xf numFmtId="0" fontId="13" fillId="0" borderId="461" xfId="0" applyFont="1" applyFill="1" applyBorder="1" applyAlignment="1">
      <alignment horizontal="center" vertical="center"/>
    </xf>
    <xf numFmtId="0" fontId="13" fillId="0" borderId="462" xfId="0" applyFont="1" applyFill="1" applyBorder="1" applyAlignment="1">
      <alignment horizontal="center" vertical="center"/>
    </xf>
    <xf numFmtId="0" fontId="13" fillId="12" borderId="463" xfId="0" applyFont="1" applyFill="1" applyBorder="1" applyAlignment="1">
      <alignment horizontal="center" vertical="center"/>
    </xf>
    <xf numFmtId="0" fontId="13" fillId="12" borderId="464" xfId="0" applyFont="1" applyFill="1" applyBorder="1" applyAlignment="1">
      <alignment horizontal="center" vertical="center"/>
    </xf>
    <xf numFmtId="0" fontId="13" fillId="0" borderId="261" xfId="0" applyFont="1" applyFill="1" applyBorder="1" applyAlignment="1">
      <alignment horizontal="center" vertical="center"/>
    </xf>
    <xf numFmtId="0" fontId="13" fillId="0" borderId="258" xfId="0" applyFont="1" applyFill="1" applyBorder="1" applyAlignment="1">
      <alignment horizontal="center" vertical="center"/>
    </xf>
    <xf numFmtId="0" fontId="13" fillId="12" borderId="246" xfId="0" applyFont="1" applyFill="1" applyBorder="1" applyAlignment="1">
      <alignment horizontal="center" vertical="center"/>
    </xf>
    <xf numFmtId="0" fontId="13" fillId="12" borderId="178" xfId="0" applyFont="1" applyFill="1" applyBorder="1" applyAlignment="1">
      <alignment horizontal="center" vertical="center"/>
    </xf>
    <xf numFmtId="0" fontId="13" fillId="0" borderId="463" xfId="0" applyFont="1" applyFill="1" applyBorder="1" applyAlignment="1">
      <alignment horizontal="center" vertical="center"/>
    </xf>
    <xf numFmtId="0" fontId="13" fillId="0" borderId="464" xfId="0" applyFont="1" applyFill="1" applyBorder="1" applyAlignment="1">
      <alignment horizontal="center" vertical="center"/>
    </xf>
    <xf numFmtId="0" fontId="13" fillId="0" borderId="465" xfId="0" applyFont="1" applyFill="1" applyBorder="1" applyAlignment="1">
      <alignment horizontal="center" vertical="center" wrapText="1"/>
    </xf>
    <xf numFmtId="0" fontId="13" fillId="0" borderId="465" xfId="0" applyFont="1" applyFill="1" applyBorder="1" applyAlignment="1">
      <alignment horizontal="center" vertical="center"/>
    </xf>
    <xf numFmtId="0" fontId="13" fillId="0" borderId="46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12" borderId="467" xfId="0" applyFont="1" applyFill="1" applyBorder="1" applyAlignment="1">
      <alignment horizontal="center" vertical="center" wrapText="1"/>
    </xf>
    <xf numFmtId="0" fontId="13" fillId="12" borderId="467" xfId="0" applyFont="1" applyFill="1" applyBorder="1" applyAlignment="1">
      <alignment horizontal="center" vertical="center"/>
    </xf>
    <xf numFmtId="0" fontId="13" fillId="12" borderId="46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467" xfId="0" applyFont="1" applyFill="1" applyBorder="1" applyAlignment="1">
      <alignment horizontal="center" vertical="center" wrapText="1"/>
    </xf>
    <xf numFmtId="0" fontId="13" fillId="0" borderId="467" xfId="0" applyFont="1" applyFill="1" applyBorder="1" applyAlignment="1">
      <alignment horizontal="center" vertical="center"/>
    </xf>
    <xf numFmtId="0" fontId="13" fillId="0" borderId="468" xfId="0" applyFont="1" applyFill="1" applyBorder="1" applyAlignment="1">
      <alignment horizontal="center" vertical="center"/>
    </xf>
    <xf numFmtId="0" fontId="13" fillId="0" borderId="469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0" fontId="13" fillId="0" borderId="470" xfId="0" applyFont="1" applyFill="1" applyBorder="1" applyAlignment="1">
      <alignment horizontal="center" vertical="center"/>
    </xf>
    <xf numFmtId="0" fontId="13" fillId="12" borderId="471" xfId="0" applyFont="1" applyFill="1" applyBorder="1" applyAlignment="1">
      <alignment horizontal="center" vertical="center"/>
    </xf>
    <xf numFmtId="0" fontId="13" fillId="0" borderId="471" xfId="0" applyFont="1" applyFill="1" applyBorder="1" applyAlignment="1">
      <alignment horizontal="center" vertical="center"/>
    </xf>
    <xf numFmtId="0" fontId="13" fillId="12" borderId="472" xfId="0" applyFont="1" applyFill="1" applyBorder="1" applyAlignment="1">
      <alignment horizontal="center" vertical="center"/>
    </xf>
    <xf numFmtId="0" fontId="16" fillId="2" borderId="121" xfId="0" applyFont="1" applyFill="1" applyBorder="1" applyAlignment="1">
      <alignment horizontal="center" vertical="center"/>
    </xf>
    <xf numFmtId="0" fontId="13" fillId="0" borderId="473" xfId="0" applyFont="1" applyFill="1" applyBorder="1" applyAlignment="1">
      <alignment horizontal="center" vertical="center"/>
    </xf>
    <xf numFmtId="0" fontId="13" fillId="12" borderId="474" xfId="0" applyFont="1" applyFill="1" applyBorder="1" applyAlignment="1">
      <alignment horizontal="center" vertical="center"/>
    </xf>
    <xf numFmtId="0" fontId="13" fillId="0" borderId="475" xfId="0" applyFont="1" applyFill="1" applyBorder="1" applyAlignment="1">
      <alignment horizontal="center" vertical="center"/>
    </xf>
    <xf numFmtId="0" fontId="13" fillId="0" borderId="474" xfId="0" applyFont="1" applyFill="1" applyBorder="1" applyAlignment="1">
      <alignment horizontal="center" vertical="center"/>
    </xf>
    <xf numFmtId="0" fontId="13" fillId="12" borderId="476" xfId="0" applyFont="1" applyFill="1" applyBorder="1" applyAlignment="1">
      <alignment horizontal="center" vertical="center"/>
    </xf>
    <xf numFmtId="0" fontId="13" fillId="12" borderId="477" xfId="0" applyFont="1" applyFill="1" applyBorder="1" applyAlignment="1">
      <alignment horizontal="center" vertical="center" wrapText="1"/>
    </xf>
    <xf numFmtId="0" fontId="13" fillId="12" borderId="477" xfId="0" applyFont="1" applyFill="1" applyBorder="1" applyAlignment="1">
      <alignment horizontal="center" vertical="center"/>
    </xf>
    <xf numFmtId="0" fontId="13" fillId="12" borderId="478" xfId="0" applyFont="1" applyFill="1" applyBorder="1" applyAlignment="1">
      <alignment horizontal="center" vertical="center"/>
    </xf>
    <xf numFmtId="0" fontId="13" fillId="12" borderId="84" xfId="0" applyFont="1" applyFill="1" applyBorder="1" applyAlignment="1">
      <alignment horizontal="center" vertical="center"/>
    </xf>
    <xf numFmtId="0" fontId="13" fillId="12" borderId="85" xfId="0" applyFont="1" applyFill="1" applyBorder="1" applyAlignment="1">
      <alignment horizontal="center" vertical="center"/>
    </xf>
    <xf numFmtId="0" fontId="13" fillId="12" borderId="280" xfId="0" applyFont="1" applyFill="1" applyBorder="1" applyAlignment="1">
      <alignment horizontal="center"/>
    </xf>
    <xf numFmtId="0" fontId="13" fillId="12" borderId="279" xfId="0" applyFont="1" applyFill="1" applyBorder="1" applyAlignment="1">
      <alignment horizontal="center"/>
    </xf>
    <xf numFmtId="0" fontId="13" fillId="16" borderId="85" xfId="0" applyFont="1" applyFill="1" applyBorder="1" applyAlignment="1">
      <alignment horizontal="center" vertical="center"/>
    </xf>
    <xf numFmtId="0" fontId="13" fillId="16" borderId="86" xfId="0" applyFont="1" applyFill="1" applyBorder="1" applyAlignment="1">
      <alignment horizontal="center" vertical="center"/>
    </xf>
    <xf numFmtId="0" fontId="13" fillId="16" borderId="279" xfId="0" applyFont="1" applyFill="1" applyBorder="1" applyAlignment="1">
      <alignment horizontal="center"/>
    </xf>
    <xf numFmtId="0" fontId="13" fillId="16" borderId="28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3" fillId="12" borderId="73" xfId="0" applyFont="1" applyFill="1" applyBorder="1" applyAlignment="1">
      <alignment horizontal="center" vertical="center"/>
    </xf>
    <xf numFmtId="0" fontId="13" fillId="12" borderId="74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13" fillId="12" borderId="54" xfId="0" applyFont="1" applyFill="1" applyBorder="1" applyAlignment="1">
      <alignment horizontal="center" vertical="center"/>
    </xf>
    <xf numFmtId="0" fontId="88" fillId="0" borderId="191" xfId="0" applyFont="1" applyFill="1" applyBorder="1" applyAlignment="1">
      <alignment horizontal="center" vertical="center"/>
    </xf>
    <xf numFmtId="0" fontId="57" fillId="0" borderId="479" xfId="0" applyFont="1" applyFill="1" applyBorder="1" applyAlignment="1">
      <alignment horizontal="center" vertical="center"/>
    </xf>
    <xf numFmtId="0" fontId="29" fillId="0" borderId="479" xfId="0" applyFont="1" applyFill="1" applyBorder="1" applyAlignment="1">
      <alignment horizontal="center" vertical="center"/>
    </xf>
    <xf numFmtId="0" fontId="16" fillId="0" borderId="479" xfId="0" applyFont="1" applyFill="1" applyBorder="1" applyAlignment="1">
      <alignment horizontal="center" vertical="center"/>
    </xf>
    <xf numFmtId="0" fontId="16" fillId="0" borderId="480" xfId="0" applyFont="1" applyFill="1" applyBorder="1" applyAlignment="1">
      <alignment horizontal="center" vertical="center"/>
    </xf>
    <xf numFmtId="0" fontId="57" fillId="12" borderId="173" xfId="0" applyFont="1" applyFill="1" applyBorder="1" applyAlignment="1">
      <alignment horizontal="center" vertical="center"/>
    </xf>
    <xf numFmtId="0" fontId="29" fillId="12" borderId="173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12" borderId="169" xfId="0" applyFont="1" applyFill="1" applyBorder="1" applyAlignment="1">
      <alignment horizontal="center" vertical="center"/>
    </xf>
    <xf numFmtId="0" fontId="57" fillId="0" borderId="173" xfId="0" applyFont="1" applyFill="1" applyBorder="1" applyAlignment="1">
      <alignment horizontal="center" vertical="center"/>
    </xf>
    <xf numFmtId="0" fontId="29" fillId="0" borderId="173" xfId="0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57" fillId="12" borderId="442" xfId="0" applyFont="1" applyFill="1" applyBorder="1" applyAlignment="1">
      <alignment horizontal="center" vertical="center"/>
    </xf>
    <xf numFmtId="0" fontId="29" fillId="12" borderId="442" xfId="0" applyFont="1" applyFill="1" applyBorder="1" applyAlignment="1">
      <alignment horizontal="center" vertical="center"/>
    </xf>
    <xf numFmtId="0" fontId="16" fillId="12" borderId="442" xfId="0" applyFont="1" applyFill="1" applyBorder="1" applyAlignment="1">
      <alignment horizontal="center" vertical="center"/>
    </xf>
    <xf numFmtId="0" fontId="16" fillId="12" borderId="481" xfId="0" applyFont="1" applyFill="1" applyBorder="1" applyAlignment="1">
      <alignment horizontal="center" vertical="center"/>
    </xf>
    <xf numFmtId="0" fontId="16" fillId="12" borderId="172" xfId="0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16" fillId="0" borderId="482" xfId="0" applyFont="1" applyFill="1" applyBorder="1" applyAlignment="1">
      <alignment horizontal="center" vertical="center"/>
    </xf>
    <xf numFmtId="0" fontId="16" fillId="0" borderId="483" xfId="0" applyFont="1" applyFill="1" applyBorder="1" applyAlignment="1">
      <alignment horizontal="center" vertical="center"/>
    </xf>
    <xf numFmtId="0" fontId="16" fillId="12" borderId="484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12" borderId="485" xfId="0" applyFont="1" applyFill="1" applyBorder="1" applyAlignment="1">
      <alignment horizontal="center" vertical="center"/>
    </xf>
    <xf numFmtId="0" fontId="16" fillId="12" borderId="48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5" fillId="0" borderId="172" xfId="0" applyFont="1" applyFill="1" applyBorder="1" applyAlignment="1">
      <alignment horizontal="center"/>
    </xf>
    <xf numFmtId="0" fontId="15" fillId="12" borderId="172" xfId="0" applyFont="1" applyFill="1" applyBorder="1" applyAlignment="1">
      <alignment horizontal="center"/>
    </xf>
    <xf numFmtId="0" fontId="15" fillId="12" borderId="192" xfId="0" applyFont="1" applyFill="1" applyBorder="1" applyAlignment="1">
      <alignment horizontal="center"/>
    </xf>
    <xf numFmtId="0" fontId="15" fillId="12" borderId="196" xfId="0" applyFont="1" applyFill="1" applyBorder="1" applyAlignment="1">
      <alignment horizontal="center"/>
    </xf>
    <xf numFmtId="0" fontId="15" fillId="12" borderId="179" xfId="0" applyFont="1" applyFill="1" applyBorder="1" applyAlignment="1">
      <alignment horizontal="center"/>
    </xf>
    <xf numFmtId="0" fontId="16" fillId="0" borderId="17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12" borderId="191" xfId="0" applyFont="1" applyFill="1" applyBorder="1" applyAlignment="1">
      <alignment horizontal="center" vertical="center"/>
    </xf>
    <xf numFmtId="0" fontId="11" fillId="0" borderId="172" xfId="0" applyFont="1" applyFill="1" applyBorder="1" applyAlignment="1">
      <alignment horizontal="center" vertical="center"/>
    </xf>
    <xf numFmtId="0" fontId="11" fillId="0" borderId="173" xfId="0" applyFont="1" applyFill="1" applyBorder="1" applyAlignment="1">
      <alignment horizontal="center" vertical="center"/>
    </xf>
    <xf numFmtId="0" fontId="11" fillId="0" borderId="180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3" fillId="12" borderId="179" xfId="0" applyFont="1" applyFill="1" applyBorder="1" applyAlignment="1">
      <alignment horizontal="center" vertical="center"/>
    </xf>
    <xf numFmtId="0" fontId="13" fillId="12" borderId="174" xfId="0" applyFont="1" applyFill="1" applyBorder="1" applyAlignment="1">
      <alignment horizontal="center" vertical="center"/>
    </xf>
    <xf numFmtId="0" fontId="13" fillId="12" borderId="243" xfId="0" applyFont="1" applyFill="1" applyBorder="1" applyAlignment="1">
      <alignment horizontal="center" vertical="center"/>
    </xf>
    <xf numFmtId="0" fontId="13" fillId="12" borderId="175" xfId="0" applyFont="1" applyFill="1" applyBorder="1" applyAlignment="1">
      <alignment horizontal="center" vertical="center"/>
    </xf>
    <xf numFmtId="0" fontId="11" fillId="0" borderId="488" xfId="0" applyFont="1" applyFill="1" applyBorder="1" applyAlignment="1">
      <alignment horizontal="center" vertical="center"/>
    </xf>
    <xf numFmtId="0" fontId="11" fillId="0" borderId="489" xfId="0" applyFont="1" applyFill="1" applyBorder="1" applyAlignment="1">
      <alignment horizontal="center" vertical="center"/>
    </xf>
    <xf numFmtId="0" fontId="11" fillId="0" borderId="491" xfId="0" applyFont="1" applyFill="1" applyBorder="1" applyAlignment="1">
      <alignment horizontal="center" vertical="center"/>
    </xf>
    <xf numFmtId="0" fontId="11" fillId="0" borderId="492" xfId="0" applyFont="1" applyFill="1" applyBorder="1" applyAlignment="1">
      <alignment horizontal="center" vertical="center"/>
    </xf>
    <xf numFmtId="0" fontId="85" fillId="2" borderId="494" xfId="0" applyFont="1" applyFill="1" applyBorder="1" applyAlignment="1">
      <alignment horizontal="left" vertical="center"/>
    </xf>
    <xf numFmtId="0" fontId="11" fillId="17" borderId="491" xfId="0" applyFont="1" applyFill="1" applyBorder="1" applyAlignment="1">
      <alignment horizontal="center" vertical="center"/>
    </xf>
    <xf numFmtId="0" fontId="11" fillId="17" borderId="492" xfId="0" applyFont="1" applyFill="1" applyBorder="1" applyAlignment="1">
      <alignment horizontal="center" vertical="center"/>
    </xf>
    <xf numFmtId="0" fontId="16" fillId="0" borderId="495" xfId="0" applyFont="1" applyFill="1" applyBorder="1" applyAlignment="1">
      <alignment horizontal="center" vertical="center"/>
    </xf>
    <xf numFmtId="0" fontId="16" fillId="12" borderId="496" xfId="0" applyFont="1" applyFill="1" applyBorder="1" applyAlignment="1">
      <alignment horizontal="center" vertical="center"/>
    </xf>
    <xf numFmtId="0" fontId="16" fillId="0" borderId="496" xfId="0" applyFont="1" applyFill="1" applyBorder="1" applyAlignment="1">
      <alignment horizontal="center" vertical="center"/>
    </xf>
    <xf numFmtId="0" fontId="16" fillId="0" borderId="497" xfId="0" applyFont="1" applyFill="1" applyBorder="1" applyAlignment="1">
      <alignment horizontal="center" vertical="center"/>
    </xf>
    <xf numFmtId="0" fontId="16" fillId="12" borderId="491" xfId="0" applyFont="1" applyFill="1" applyBorder="1" applyAlignment="1">
      <alignment horizontal="center" vertical="center"/>
    </xf>
    <xf numFmtId="0" fontId="16" fillId="0" borderId="491" xfId="0" applyFont="1" applyFill="1" applyBorder="1" applyAlignment="1">
      <alignment horizontal="center" vertical="center"/>
    </xf>
    <xf numFmtId="0" fontId="16" fillId="12" borderId="498" xfId="0" applyFont="1" applyFill="1" applyBorder="1" applyAlignment="1">
      <alignment horizontal="center" vertical="center"/>
    </xf>
    <xf numFmtId="0" fontId="16" fillId="0" borderId="499" xfId="0" applyFont="1" applyFill="1" applyBorder="1" applyAlignment="1">
      <alignment horizontal="center" vertical="center"/>
    </xf>
    <xf numFmtId="0" fontId="16" fillId="12" borderId="493" xfId="0" applyFont="1" applyFill="1" applyBorder="1" applyAlignment="1">
      <alignment horizontal="center" vertical="center"/>
    </xf>
    <xf numFmtId="0" fontId="16" fillId="0" borderId="493" xfId="0" applyFont="1" applyFill="1" applyBorder="1" applyAlignment="1">
      <alignment horizontal="center" vertical="center"/>
    </xf>
    <xf numFmtId="0" fontId="16" fillId="12" borderId="500" xfId="0" applyFont="1" applyFill="1" applyBorder="1" applyAlignment="1">
      <alignment horizontal="center" vertical="center"/>
    </xf>
    <xf numFmtId="0" fontId="16" fillId="12" borderId="501" xfId="0" applyFont="1" applyFill="1" applyBorder="1" applyAlignment="1">
      <alignment horizontal="center" vertical="center"/>
    </xf>
    <xf numFmtId="0" fontId="16" fillId="12" borderId="502" xfId="0" applyFont="1" applyFill="1" applyBorder="1" applyAlignment="1">
      <alignment horizontal="center" vertical="center"/>
    </xf>
    <xf numFmtId="0" fontId="16" fillId="12" borderId="492" xfId="0" applyFont="1" applyFill="1" applyBorder="1" applyAlignment="1">
      <alignment horizontal="center" vertical="center"/>
    </xf>
    <xf numFmtId="0" fontId="16" fillId="0" borderId="503" xfId="0" applyFont="1" applyFill="1" applyBorder="1" applyAlignment="1">
      <alignment horizontal="center" vertical="center"/>
    </xf>
    <xf numFmtId="0" fontId="16" fillId="12" borderId="504" xfId="0" applyFont="1" applyFill="1" applyBorder="1" applyAlignment="1">
      <alignment horizontal="center" vertical="center"/>
    </xf>
    <xf numFmtId="0" fontId="16" fillId="0" borderId="504" xfId="0" applyFont="1" applyFill="1" applyBorder="1" applyAlignment="1">
      <alignment horizontal="center" vertical="center"/>
    </xf>
    <xf numFmtId="0" fontId="16" fillId="12" borderId="505" xfId="0" applyFont="1" applyFill="1" applyBorder="1" applyAlignment="1">
      <alignment horizontal="center" vertical="center"/>
    </xf>
    <xf numFmtId="0" fontId="16" fillId="0" borderId="506" xfId="0" applyFont="1" applyFill="1" applyBorder="1" applyAlignment="1">
      <alignment horizontal="center" vertical="center"/>
    </xf>
    <xf numFmtId="0" fontId="16" fillId="12" borderId="507" xfId="0" applyFont="1" applyFill="1" applyBorder="1" applyAlignment="1">
      <alignment horizontal="center" vertical="center"/>
    </xf>
    <xf numFmtId="0" fontId="16" fillId="0" borderId="507" xfId="0" applyFont="1" applyFill="1" applyBorder="1" applyAlignment="1">
      <alignment horizontal="center" vertical="center"/>
    </xf>
    <xf numFmtId="0" fontId="16" fillId="12" borderId="508" xfId="0" applyFont="1" applyFill="1" applyBorder="1" applyAlignment="1">
      <alignment horizontal="center" vertical="center"/>
    </xf>
    <xf numFmtId="0" fontId="16" fillId="12" borderId="509" xfId="0" applyFont="1" applyFill="1" applyBorder="1" applyAlignment="1">
      <alignment horizontal="center" vertical="center"/>
    </xf>
    <xf numFmtId="0" fontId="16" fillId="0" borderId="510" xfId="0" applyFont="1" applyFill="1" applyBorder="1" applyAlignment="1">
      <alignment horizontal="center" vertical="center"/>
    </xf>
    <xf numFmtId="0" fontId="16" fillId="12" borderId="511" xfId="0" applyFont="1" applyFill="1" applyBorder="1" applyAlignment="1">
      <alignment horizontal="center" vertical="center"/>
    </xf>
    <xf numFmtId="0" fontId="16" fillId="0" borderId="511" xfId="0" applyFont="1" applyFill="1" applyBorder="1" applyAlignment="1">
      <alignment horizontal="center" vertical="center"/>
    </xf>
    <xf numFmtId="0" fontId="16" fillId="12" borderId="512" xfId="0" applyFont="1" applyFill="1" applyBorder="1" applyAlignment="1">
      <alignment horizontal="center" vertical="center"/>
    </xf>
    <xf numFmtId="0" fontId="16" fillId="12" borderId="513" xfId="0" applyFont="1" applyFill="1" applyBorder="1" applyAlignment="1">
      <alignment horizontal="center" vertical="center"/>
    </xf>
    <xf numFmtId="0" fontId="16" fillId="12" borderId="246" xfId="0" applyFont="1" applyFill="1" applyBorder="1" applyAlignment="1">
      <alignment horizontal="center" vertical="center"/>
    </xf>
    <xf numFmtId="0" fontId="16" fillId="12" borderId="207" xfId="0" applyFont="1" applyFill="1" applyBorder="1" applyAlignment="1">
      <alignment horizontal="center" vertical="center"/>
    </xf>
    <xf numFmtId="0" fontId="16" fillId="12" borderId="208" xfId="0" applyFont="1" applyFill="1" applyBorder="1" applyAlignment="1">
      <alignment horizontal="center" vertical="center"/>
    </xf>
    <xf numFmtId="0" fontId="16" fillId="12" borderId="209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center" vertical="center"/>
    </xf>
    <xf numFmtId="0" fontId="16" fillId="0" borderId="212" xfId="0" applyFont="1" applyFill="1" applyBorder="1" applyAlignment="1">
      <alignment horizontal="center" vertical="center"/>
    </xf>
    <xf numFmtId="0" fontId="16" fillId="0" borderId="210" xfId="0" applyFont="1" applyFill="1" applyBorder="1" applyAlignment="1">
      <alignment horizontal="center" vertical="center"/>
    </xf>
    <xf numFmtId="0" fontId="16" fillId="0" borderId="211" xfId="0" applyFont="1" applyFill="1" applyBorder="1" applyAlignment="1">
      <alignment horizontal="center" vertical="center"/>
    </xf>
    <xf numFmtId="0" fontId="15" fillId="21" borderId="227" xfId="0" applyFont="1" applyFill="1" applyBorder="1" applyAlignment="1">
      <alignment horizontal="center"/>
    </xf>
    <xf numFmtId="0" fontId="15" fillId="21" borderId="16" xfId="0" applyFont="1" applyFill="1" applyBorder="1" applyAlignment="1">
      <alignment horizontal="center"/>
    </xf>
    <xf numFmtId="0" fontId="15" fillId="21" borderId="41" xfId="0" applyFont="1" applyFill="1" applyBorder="1" applyAlignment="1">
      <alignment horizontal="center"/>
    </xf>
    <xf numFmtId="0" fontId="15" fillId="21" borderId="98" xfId="0" applyFont="1" applyFill="1" applyBorder="1" applyAlignment="1">
      <alignment horizontal="center"/>
    </xf>
    <xf numFmtId="0" fontId="15" fillId="21" borderId="35" xfId="0" applyFont="1" applyFill="1" applyBorder="1" applyAlignment="1">
      <alignment horizontal="center"/>
    </xf>
    <xf numFmtId="0" fontId="15" fillId="21" borderId="36" xfId="0" applyFont="1" applyFill="1" applyBorder="1" applyAlignment="1">
      <alignment horizontal="center"/>
    </xf>
    <xf numFmtId="0" fontId="15" fillId="21" borderId="105" xfId="0" applyFont="1" applyFill="1" applyBorder="1" applyAlignment="1">
      <alignment horizontal="center"/>
    </xf>
    <xf numFmtId="0" fontId="15" fillId="21" borderId="106" xfId="0" applyFont="1" applyFill="1" applyBorder="1" applyAlignment="1">
      <alignment horizontal="center"/>
    </xf>
    <xf numFmtId="0" fontId="15" fillId="21" borderId="107" xfId="0" applyFont="1" applyFill="1" applyBorder="1" applyAlignment="1">
      <alignment horizontal="center"/>
    </xf>
    <xf numFmtId="0" fontId="15" fillId="21" borderId="108" xfId="0" applyFont="1" applyFill="1" applyBorder="1" applyAlignment="1">
      <alignment horizontal="center"/>
    </xf>
    <xf numFmtId="0" fontId="15" fillId="21" borderId="79" xfId="0" applyFont="1" applyFill="1" applyBorder="1" applyAlignment="1">
      <alignment horizontal="center"/>
    </xf>
    <xf numFmtId="0" fontId="15" fillId="21" borderId="109" xfId="0" applyFont="1" applyFill="1" applyBorder="1" applyAlignment="1">
      <alignment horizontal="center"/>
    </xf>
    <xf numFmtId="0" fontId="15" fillId="21" borderId="228" xfId="0" applyFont="1" applyFill="1" applyBorder="1" applyAlignment="1">
      <alignment horizontal="center" vertical="center"/>
    </xf>
    <xf numFmtId="0" fontId="15" fillId="21" borderId="81" xfId="0" applyFont="1" applyFill="1" applyBorder="1" applyAlignment="1">
      <alignment horizontal="center" vertical="center"/>
    </xf>
    <xf numFmtId="0" fontId="15" fillId="21" borderId="114" xfId="0" applyFont="1" applyFill="1" applyBorder="1" applyAlignment="1">
      <alignment horizontal="center"/>
    </xf>
    <xf numFmtId="0" fontId="15" fillId="21" borderId="9" xfId="0" applyFont="1" applyFill="1" applyBorder="1" applyAlignment="1">
      <alignment horizontal="center"/>
    </xf>
    <xf numFmtId="0" fontId="15" fillId="21" borderId="103" xfId="0" applyFont="1" applyFill="1" applyBorder="1" applyAlignment="1">
      <alignment horizontal="center"/>
    </xf>
    <xf numFmtId="0" fontId="15" fillId="21" borderId="74" xfId="0" applyFont="1" applyFill="1" applyBorder="1" applyAlignment="1">
      <alignment horizontal="center"/>
    </xf>
    <xf numFmtId="0" fontId="16" fillId="12" borderId="81" xfId="0" applyFont="1" applyFill="1" applyBorder="1" applyAlignment="1">
      <alignment horizontal="center" vertical="center"/>
    </xf>
    <xf numFmtId="0" fontId="16" fillId="12" borderId="41" xfId="0" applyFont="1" applyFill="1" applyBorder="1" applyAlignment="1">
      <alignment horizontal="center" vertical="center"/>
    </xf>
    <xf numFmtId="0" fontId="16" fillId="12" borderId="77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6" fillId="12" borderId="51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9" borderId="226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24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224" xfId="0" applyFont="1" applyFill="1" applyBorder="1" applyAlignment="1">
      <alignment horizontal="center" vertical="center"/>
    </xf>
    <xf numFmtId="0" fontId="15" fillId="10" borderId="283" xfId="0" applyFont="1" applyFill="1" applyBorder="1" applyAlignment="1">
      <alignment horizontal="center" vertical="center"/>
    </xf>
    <xf numFmtId="0" fontId="15" fillId="10" borderId="348" xfId="0" applyFont="1" applyFill="1" applyBorder="1" applyAlignment="1">
      <alignment horizontal="center" vertical="center"/>
    </xf>
    <xf numFmtId="0" fontId="15" fillId="10" borderId="338" xfId="0" applyFont="1" applyFill="1" applyBorder="1" applyAlignment="1">
      <alignment horizontal="center" vertical="center"/>
    </xf>
    <xf numFmtId="0" fontId="80" fillId="9" borderId="0" xfId="0" applyFont="1" applyFill="1" applyBorder="1"/>
    <xf numFmtId="0" fontId="76" fillId="9" borderId="0" xfId="0" applyFont="1" applyFill="1" applyBorder="1" applyAlignment="1">
      <alignment vertical="center"/>
    </xf>
    <xf numFmtId="14" fontId="76" fillId="9" borderId="0" xfId="0" applyNumberFormat="1" applyFont="1" applyFill="1" applyBorder="1" applyAlignment="1">
      <alignment horizontal="left" vertical="center"/>
    </xf>
    <xf numFmtId="14" fontId="3" fillId="9" borderId="0" xfId="0" applyNumberFormat="1" applyFont="1" applyFill="1" applyBorder="1" applyAlignment="1">
      <alignment vertical="center"/>
    </xf>
    <xf numFmtId="0" fontId="13" fillId="0" borderId="487" xfId="0" applyFont="1" applyFill="1" applyBorder="1" applyAlignment="1">
      <alignment horizontal="center" vertical="center"/>
    </xf>
    <xf numFmtId="0" fontId="13" fillId="17" borderId="490" xfId="0" applyFont="1" applyFill="1" applyBorder="1" applyAlignment="1">
      <alignment horizontal="center" vertical="center"/>
    </xf>
    <xf numFmtId="0" fontId="13" fillId="0" borderId="490" xfId="0" applyFont="1" applyFill="1" applyBorder="1" applyAlignment="1">
      <alignment horizontal="center" vertical="center"/>
    </xf>
    <xf numFmtId="0" fontId="11" fillId="12" borderId="515" xfId="0" applyFont="1" applyFill="1" applyBorder="1" applyAlignment="1">
      <alignment horizontal="center" vertical="center"/>
    </xf>
    <xf numFmtId="0" fontId="11" fillId="12" borderId="172" xfId="0" applyFont="1" applyFill="1" applyBorder="1" applyAlignment="1">
      <alignment horizontal="center" vertical="center"/>
    </xf>
    <xf numFmtId="0" fontId="11" fillId="12" borderId="517" xfId="0" applyFont="1" applyFill="1" applyBorder="1" applyAlignment="1">
      <alignment horizontal="center" vertical="center"/>
    </xf>
    <xf numFmtId="0" fontId="16" fillId="9" borderId="168" xfId="0" applyFont="1" applyFill="1" applyBorder="1" applyAlignment="1">
      <alignment horizontal="center" vertical="center"/>
    </xf>
    <xf numFmtId="0" fontId="16" fillId="9" borderId="169" xfId="0" applyFont="1" applyFill="1" applyBorder="1" applyAlignment="1">
      <alignment horizontal="center" vertical="center"/>
    </xf>
    <xf numFmtId="0" fontId="13" fillId="9" borderId="171" xfId="0" applyFont="1" applyFill="1" applyBorder="1" applyAlignment="1">
      <alignment horizontal="center" vertical="center"/>
    </xf>
    <xf numFmtId="0" fontId="13" fillId="9" borderId="173" xfId="0" applyFont="1" applyFill="1" applyBorder="1" applyAlignment="1">
      <alignment horizontal="center" vertical="center"/>
    </xf>
    <xf numFmtId="0" fontId="13" fillId="9" borderId="193" xfId="0" applyFont="1" applyFill="1" applyBorder="1" applyAlignment="1">
      <alignment horizontal="center" vertical="center"/>
    </xf>
    <xf numFmtId="0" fontId="13" fillId="9" borderId="204" xfId="0" applyFont="1" applyFill="1" applyBorder="1" applyAlignment="1">
      <alignment horizontal="center" vertical="center"/>
    </xf>
    <xf numFmtId="0" fontId="16" fillId="12" borderId="194" xfId="0" applyFont="1" applyFill="1" applyBorder="1" applyAlignment="1">
      <alignment horizontal="center" vertical="center"/>
    </xf>
    <xf numFmtId="0" fontId="16" fillId="12" borderId="205" xfId="0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6" fillId="9" borderId="89" xfId="0" applyFont="1" applyFill="1" applyBorder="1" applyAlignment="1">
      <alignment horizontal="center" vertical="center"/>
    </xf>
    <xf numFmtId="0" fontId="16" fillId="9" borderId="90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/>
    </xf>
    <xf numFmtId="0" fontId="15" fillId="9" borderId="37" xfId="0" applyFont="1" applyFill="1" applyBorder="1" applyAlignment="1" applyProtection="1">
      <alignment horizontal="center"/>
      <protection locked="0"/>
    </xf>
    <xf numFmtId="0" fontId="15" fillId="9" borderId="102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8" borderId="37" xfId="0" applyFont="1" applyFill="1" applyBorder="1" applyAlignment="1" applyProtection="1">
      <alignment horizontal="center"/>
      <protection locked="0"/>
    </xf>
    <xf numFmtId="0" fontId="15" fillId="8" borderId="37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4" fillId="0" borderId="0" xfId="0" applyFont="1" applyBorder="1"/>
    <xf numFmtId="0" fontId="85" fillId="2" borderId="68" xfId="0" applyFont="1" applyFill="1" applyBorder="1" applyAlignment="1">
      <alignment horizontal="left" vertical="center"/>
    </xf>
    <xf numFmtId="0" fontId="7" fillId="9" borderId="0" xfId="0" applyFont="1" applyFill="1" applyBorder="1"/>
    <xf numFmtId="0" fontId="15" fillId="8" borderId="179" xfId="0" applyFont="1" applyFill="1" applyBorder="1" applyAlignment="1">
      <alignment horizontal="center" vertical="center"/>
    </xf>
    <xf numFmtId="0" fontId="75" fillId="9" borderId="21" xfId="0" applyFont="1" applyFill="1" applyBorder="1" applyAlignment="1">
      <alignment horizontal="left" vertical="center"/>
    </xf>
    <xf numFmtId="0" fontId="43" fillId="9" borderId="21" xfId="0" applyFont="1" applyFill="1" applyBorder="1" applyAlignment="1">
      <alignment horizontal="center" vertical="center"/>
    </xf>
    <xf numFmtId="0" fontId="0" fillId="0" borderId="21" xfId="0" applyBorder="1"/>
    <xf numFmtId="0" fontId="0" fillId="0" borderId="55" xfId="0" applyBorder="1"/>
    <xf numFmtId="0" fontId="0" fillId="0" borderId="23" xfId="0" applyBorder="1"/>
    <xf numFmtId="0" fontId="75" fillId="0" borderId="0" xfId="0" applyFont="1" applyBorder="1"/>
    <xf numFmtId="0" fontId="49" fillId="9" borderId="0" xfId="0" applyFont="1" applyFill="1" applyBorder="1" applyAlignment="1" applyProtection="1">
      <alignment vertical="center"/>
    </xf>
    <xf numFmtId="0" fontId="0" fillId="0" borderId="37" xfId="0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 wrapText="1"/>
    </xf>
    <xf numFmtId="0" fontId="48" fillId="9" borderId="20" xfId="0" applyFont="1" applyFill="1" applyBorder="1" applyAlignment="1">
      <alignment vertical="center"/>
    </xf>
    <xf numFmtId="0" fontId="48" fillId="9" borderId="126" xfId="0" applyFont="1" applyFill="1" applyBorder="1" applyAlignment="1">
      <alignment vertical="center"/>
    </xf>
    <xf numFmtId="0" fontId="13" fillId="17" borderId="519" xfId="0" applyFont="1" applyFill="1" applyBorder="1" applyAlignment="1">
      <alignment horizontal="center" vertical="center"/>
    </xf>
    <xf numFmtId="0" fontId="11" fillId="17" borderId="520" xfId="0" applyFont="1" applyFill="1" applyBorder="1" applyAlignment="1">
      <alignment horizontal="center" vertical="center"/>
    </xf>
    <xf numFmtId="0" fontId="11" fillId="17" borderId="521" xfId="0" applyFont="1" applyFill="1" applyBorder="1" applyAlignment="1">
      <alignment horizontal="center" vertical="center"/>
    </xf>
    <xf numFmtId="0" fontId="53" fillId="9" borderId="120" xfId="0" applyFont="1" applyFill="1" applyBorder="1" applyAlignment="1"/>
    <xf numFmtId="0" fontId="53" fillId="9" borderId="56" xfId="0" applyFont="1" applyFill="1" applyBorder="1" applyAlignment="1"/>
    <xf numFmtId="0" fontId="9" fillId="9" borderId="0" xfId="0" applyFont="1" applyFill="1" applyBorder="1"/>
    <xf numFmtId="0" fontId="11" fillId="2" borderId="13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0" borderId="240" xfId="0" applyFont="1" applyFill="1" applyBorder="1" applyAlignment="1">
      <alignment horizontal="center" vertical="center"/>
    </xf>
    <xf numFmtId="0" fontId="13" fillId="0" borderId="239" xfId="0" applyFont="1" applyFill="1" applyBorder="1" applyAlignment="1">
      <alignment horizontal="center" vertical="center"/>
    </xf>
    <xf numFmtId="0" fontId="13" fillId="0" borderId="242" xfId="0" applyFont="1" applyFill="1" applyBorder="1" applyAlignment="1">
      <alignment horizontal="center" vertical="center"/>
    </xf>
    <xf numFmtId="0" fontId="13" fillId="0" borderId="244" xfId="0" applyFont="1" applyFill="1" applyBorder="1" applyAlignment="1">
      <alignment horizontal="center" vertical="center"/>
    </xf>
    <xf numFmtId="0" fontId="13" fillId="0" borderId="241" xfId="0" applyFont="1" applyFill="1" applyBorder="1" applyAlignment="1">
      <alignment horizontal="center" vertical="center"/>
    </xf>
    <xf numFmtId="0" fontId="13" fillId="9" borderId="120" xfId="0" applyFont="1" applyFill="1" applyBorder="1" applyAlignment="1"/>
    <xf numFmtId="0" fontId="11" fillId="0" borderId="191" xfId="0" applyFont="1" applyFill="1" applyBorder="1" applyAlignment="1">
      <alignment horizontal="center" vertical="center"/>
    </xf>
    <xf numFmtId="0" fontId="13" fillId="12" borderId="536" xfId="0" applyFont="1" applyFill="1" applyBorder="1" applyAlignment="1">
      <alignment horizontal="center" vertical="center"/>
    </xf>
    <xf numFmtId="0" fontId="89" fillId="0" borderId="244" xfId="0" applyFont="1" applyFill="1" applyBorder="1" applyAlignment="1">
      <alignment horizontal="center" vertical="center"/>
    </xf>
    <xf numFmtId="0" fontId="89" fillId="0" borderId="239" xfId="0" applyFont="1" applyFill="1" applyBorder="1" applyAlignment="1">
      <alignment horizontal="center" vertical="center"/>
    </xf>
    <xf numFmtId="0" fontId="89" fillId="0" borderId="241" xfId="0" applyFont="1" applyFill="1" applyBorder="1" applyAlignment="1">
      <alignment horizontal="center" vertical="center"/>
    </xf>
    <xf numFmtId="0" fontId="31" fillId="0" borderId="537" xfId="0" applyFont="1" applyFill="1" applyBorder="1" applyAlignment="1">
      <alignment horizontal="center" vertical="center"/>
    </xf>
    <xf numFmtId="0" fontId="31" fillId="0" borderId="171" xfId="0" applyFont="1" applyFill="1" applyBorder="1" applyAlignment="1">
      <alignment horizontal="center" vertical="center"/>
    </xf>
    <xf numFmtId="0" fontId="31" fillId="0" borderId="168" xfId="0" applyFont="1" applyFill="1" applyBorder="1" applyAlignment="1">
      <alignment horizontal="center" vertical="center"/>
    </xf>
    <xf numFmtId="0" fontId="31" fillId="12" borderId="538" xfId="0" applyFont="1" applyFill="1" applyBorder="1" applyAlignment="1">
      <alignment horizontal="center" vertical="center"/>
    </xf>
    <xf numFmtId="0" fontId="31" fillId="12" borderId="173" xfId="0" applyFont="1" applyFill="1" applyBorder="1" applyAlignment="1">
      <alignment horizontal="center" vertical="center"/>
    </xf>
    <xf numFmtId="0" fontId="31" fillId="12" borderId="169" xfId="0" applyFont="1" applyFill="1" applyBorder="1" applyAlignment="1">
      <alignment horizontal="center" vertical="center"/>
    </xf>
    <xf numFmtId="0" fontId="31" fillId="12" borderId="539" xfId="0" applyFont="1" applyFill="1" applyBorder="1" applyAlignment="1">
      <alignment horizontal="center" vertical="center"/>
    </xf>
    <xf numFmtId="0" fontId="31" fillId="12" borderId="442" xfId="0" applyFont="1" applyFill="1" applyBorder="1" applyAlignment="1">
      <alignment horizontal="center" vertical="center"/>
    </xf>
    <xf numFmtId="0" fontId="31" fillId="12" borderId="48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3"/>
    <xf numFmtId="0" fontId="15" fillId="0" borderId="1" xfId="3" applyNumberFormat="1" applyFont="1" applyFill="1" applyBorder="1" applyAlignment="1" applyProtection="1">
      <alignment horizontal="center" vertical="center"/>
    </xf>
    <xf numFmtId="0" fontId="9" fillId="0" borderId="0" xfId="3" applyFont="1"/>
    <xf numFmtId="0" fontId="13" fillId="0" borderId="24" xfId="0" applyFont="1" applyFill="1" applyBorder="1" applyAlignment="1" applyProtection="1">
      <alignment horizontal="center" vertical="center"/>
    </xf>
    <xf numFmtId="0" fontId="15" fillId="0" borderId="37" xfId="3" applyNumberFormat="1" applyFont="1" applyFill="1" applyBorder="1" applyAlignment="1" applyProtection="1">
      <alignment horizontal="center" vertical="center"/>
    </xf>
    <xf numFmtId="0" fontId="13" fillId="2" borderId="67" xfId="3" applyFont="1" applyFill="1" applyBorder="1" applyAlignment="1" applyProtection="1">
      <alignment horizontal="center" vertical="center"/>
    </xf>
    <xf numFmtId="0" fontId="13" fillId="2" borderId="68" xfId="3" applyFont="1" applyFill="1" applyBorder="1" applyAlignment="1" applyProtection="1">
      <alignment horizontal="center" vertical="center"/>
    </xf>
    <xf numFmtId="0" fontId="15" fillId="0" borderId="38" xfId="3" applyNumberFormat="1" applyFont="1" applyFill="1" applyBorder="1" applyAlignment="1" applyProtection="1">
      <alignment horizontal="center" vertical="center"/>
    </xf>
    <xf numFmtId="0" fontId="4" fillId="0" borderId="0" xfId="3" applyBorder="1"/>
    <xf numFmtId="0" fontId="4" fillId="0" borderId="23" xfId="3" applyBorder="1"/>
    <xf numFmtId="0" fontId="13" fillId="2" borderId="57" xfId="3" applyFont="1" applyFill="1" applyBorder="1" applyAlignment="1" applyProtection="1">
      <alignment horizontal="center" vertical="center"/>
    </xf>
    <xf numFmtId="0" fontId="13" fillId="2" borderId="58" xfId="3" applyFont="1" applyFill="1" applyBorder="1" applyAlignment="1" applyProtection="1">
      <alignment horizontal="center" vertical="center"/>
    </xf>
    <xf numFmtId="0" fontId="13" fillId="2" borderId="59" xfId="3" applyFont="1" applyFill="1" applyBorder="1" applyAlignment="1" applyProtection="1">
      <alignment horizontal="center" vertical="center"/>
    </xf>
    <xf numFmtId="0" fontId="16" fillId="2" borderId="58" xfId="3" applyFont="1" applyFill="1" applyBorder="1" applyAlignment="1" applyProtection="1">
      <alignment horizontal="center" vertical="center"/>
    </xf>
    <xf numFmtId="0" fontId="16" fillId="2" borderId="59" xfId="3" applyFont="1" applyFill="1" applyBorder="1" applyAlignment="1" applyProtection="1">
      <alignment horizontal="center" vertical="center"/>
    </xf>
    <xf numFmtId="0" fontId="15" fillId="0" borderId="76" xfId="3" applyNumberFormat="1" applyFont="1" applyFill="1" applyBorder="1" applyAlignment="1" applyProtection="1">
      <alignment horizontal="center" vertical="center"/>
    </xf>
    <xf numFmtId="0" fontId="13" fillId="2" borderId="119" xfId="3" applyFont="1" applyFill="1" applyBorder="1" applyAlignment="1" applyProtection="1">
      <alignment horizontal="center" vertical="center"/>
    </xf>
    <xf numFmtId="0" fontId="15" fillId="0" borderId="88" xfId="3" applyNumberFormat="1" applyFont="1" applyFill="1" applyBorder="1" applyAlignment="1" applyProtection="1">
      <alignment horizontal="center" vertical="center"/>
    </xf>
    <xf numFmtId="0" fontId="15" fillId="0" borderId="112" xfId="3" applyNumberFormat="1" applyFont="1" applyFill="1" applyBorder="1" applyAlignment="1" applyProtection="1">
      <alignment horizontal="center" vertical="center"/>
    </xf>
    <xf numFmtId="0" fontId="15" fillId="0" borderId="130" xfId="3" applyNumberFormat="1" applyFont="1" applyFill="1" applyBorder="1" applyAlignment="1" applyProtection="1">
      <alignment horizontal="center" vertical="center"/>
    </xf>
    <xf numFmtId="0" fontId="15" fillId="0" borderId="19" xfId="3" applyNumberFormat="1" applyFont="1" applyFill="1" applyBorder="1" applyAlignment="1" applyProtection="1">
      <alignment horizontal="center" vertical="center"/>
    </xf>
    <xf numFmtId="0" fontId="16" fillId="2" borderId="57" xfId="3" applyFont="1" applyFill="1" applyBorder="1" applyAlignment="1" applyProtection="1">
      <alignment horizontal="center" vertical="center"/>
    </xf>
    <xf numFmtId="0" fontId="16" fillId="2" borderId="80" xfId="3" applyFont="1" applyFill="1" applyBorder="1" applyAlignment="1" applyProtection="1">
      <alignment horizontal="center" vertical="center"/>
    </xf>
    <xf numFmtId="0" fontId="15" fillId="0" borderId="2" xfId="3" applyNumberFormat="1" applyFont="1" applyFill="1" applyBorder="1" applyAlignment="1" applyProtection="1">
      <alignment horizontal="center" vertical="center"/>
    </xf>
    <xf numFmtId="0" fontId="13" fillId="8" borderId="57" xfId="3" applyNumberFormat="1" applyFont="1" applyFill="1" applyBorder="1" applyAlignment="1" applyProtection="1">
      <alignment horizontal="center" vertical="center"/>
    </xf>
    <xf numFmtId="0" fontId="13" fillId="8" borderId="58" xfId="3" applyNumberFormat="1" applyFont="1" applyFill="1" applyBorder="1" applyAlignment="1" applyProtection="1">
      <alignment horizontal="center" vertical="center"/>
    </xf>
    <xf numFmtId="0" fontId="16" fillId="8" borderId="57" xfId="3" applyNumberFormat="1" applyFont="1" applyFill="1" applyBorder="1" applyAlignment="1" applyProtection="1">
      <alignment horizontal="center" vertical="center"/>
    </xf>
    <xf numFmtId="0" fontId="16" fillId="8" borderId="58" xfId="3" applyNumberFormat="1" applyFont="1" applyFill="1" applyBorder="1" applyAlignment="1" applyProtection="1">
      <alignment horizontal="center" vertical="center"/>
    </xf>
    <xf numFmtId="0" fontId="16" fillId="8" borderId="80" xfId="3" applyNumberFormat="1" applyFont="1" applyFill="1" applyBorder="1" applyAlignment="1" applyProtection="1">
      <alignment horizontal="center" vertical="center"/>
    </xf>
    <xf numFmtId="0" fontId="15" fillId="0" borderId="96" xfId="3" applyNumberFormat="1" applyFont="1" applyFill="1" applyBorder="1" applyAlignment="1" applyProtection="1">
      <alignment horizontal="center" vertical="center"/>
    </xf>
    <xf numFmtId="0" fontId="13" fillId="8" borderId="80" xfId="3" applyNumberFormat="1" applyFont="1" applyFill="1" applyBorder="1" applyAlignment="1" applyProtection="1">
      <alignment horizontal="center" vertical="center"/>
    </xf>
    <xf numFmtId="0" fontId="77" fillId="0" borderId="32" xfId="3" applyFont="1" applyFill="1" applyBorder="1" applyAlignment="1" applyProtection="1">
      <alignment vertical="center"/>
    </xf>
    <xf numFmtId="0" fontId="77" fillId="0" borderId="99" xfId="3" applyFont="1" applyFill="1" applyBorder="1" applyAlignment="1" applyProtection="1">
      <alignment vertical="center"/>
    </xf>
    <xf numFmtId="0" fontId="77" fillId="0" borderId="33" xfId="3" applyFont="1" applyFill="1" applyBorder="1" applyAlignment="1" applyProtection="1">
      <alignment vertical="center"/>
    </xf>
    <xf numFmtId="0" fontId="77" fillId="0" borderId="71" xfId="3" applyFont="1" applyFill="1" applyBorder="1" applyAlignment="1" applyProtection="1">
      <alignment vertical="center"/>
    </xf>
    <xf numFmtId="0" fontId="77" fillId="0" borderId="135" xfId="3" applyFont="1" applyFill="1" applyBorder="1" applyAlignment="1" applyProtection="1">
      <alignment vertical="center"/>
    </xf>
    <xf numFmtId="0" fontId="77" fillId="0" borderId="126" xfId="3" applyFont="1" applyFill="1" applyBorder="1" applyAlignment="1" applyProtection="1">
      <alignment vertical="center"/>
    </xf>
    <xf numFmtId="0" fontId="16" fillId="7" borderId="540" xfId="3" applyFont="1" applyFill="1" applyBorder="1" applyAlignment="1" applyProtection="1">
      <alignment horizontal="center" vertical="center"/>
    </xf>
    <xf numFmtId="0" fontId="16" fillId="7" borderId="541" xfId="3" applyFont="1" applyFill="1" applyBorder="1" applyAlignment="1" applyProtection="1">
      <alignment horizontal="center" vertical="center"/>
    </xf>
    <xf numFmtId="0" fontId="16" fillId="7" borderId="542" xfId="3" applyFont="1" applyFill="1" applyBorder="1" applyAlignment="1" applyProtection="1">
      <alignment horizontal="center" vertical="center"/>
    </xf>
    <xf numFmtId="0" fontId="15" fillId="7" borderId="6" xfId="3" applyNumberFormat="1" applyFont="1" applyFill="1" applyBorder="1" applyAlignment="1" applyProtection="1">
      <alignment horizontal="center" vertical="center"/>
    </xf>
    <xf numFmtId="0" fontId="15" fillId="7" borderId="28" xfId="3" applyNumberFormat="1" applyFont="1" applyFill="1" applyBorder="1" applyAlignment="1" applyProtection="1">
      <alignment horizontal="center" vertical="center"/>
    </xf>
    <xf numFmtId="0" fontId="15" fillId="7" borderId="29" xfId="3" applyNumberFormat="1" applyFont="1" applyFill="1" applyBorder="1" applyAlignment="1" applyProtection="1">
      <alignment horizontal="center" vertical="center"/>
    </xf>
    <xf numFmtId="0" fontId="16" fillId="7" borderId="543" xfId="3" applyFont="1" applyFill="1" applyBorder="1" applyAlignment="1" applyProtection="1">
      <alignment horizontal="center" vertical="center"/>
    </xf>
    <xf numFmtId="0" fontId="13" fillId="7" borderId="27" xfId="3" applyFont="1" applyFill="1" applyBorder="1" applyAlignment="1" applyProtection="1">
      <alignment vertical="center"/>
    </xf>
    <xf numFmtId="0" fontId="13" fillId="7" borderId="25" xfId="3" applyFont="1" applyFill="1" applyBorder="1" applyAlignment="1" applyProtection="1">
      <alignment vertical="center"/>
    </xf>
    <xf numFmtId="0" fontId="13" fillId="7" borderId="26" xfId="3" applyFont="1" applyFill="1" applyBorder="1" applyAlignment="1" applyProtection="1">
      <alignment vertical="center"/>
    </xf>
    <xf numFmtId="0" fontId="9" fillId="0" borderId="0" xfId="3" applyFont="1" applyBorder="1"/>
    <xf numFmtId="0" fontId="75" fillId="0" borderId="1" xfId="3" applyFont="1" applyBorder="1" applyAlignment="1">
      <alignment horizontal="center" vertical="center"/>
    </xf>
    <xf numFmtId="0" fontId="13" fillId="2" borderId="136" xfId="0" applyFont="1" applyFill="1" applyBorder="1" applyAlignment="1" applyProtection="1">
      <alignment horizontal="center" vertical="center"/>
    </xf>
    <xf numFmtId="0" fontId="15" fillId="0" borderId="171" xfId="0" applyNumberFormat="1" applyFont="1" applyFill="1" applyBorder="1" applyAlignment="1" applyProtection="1">
      <alignment horizontal="center" vertical="center"/>
    </xf>
    <xf numFmtId="0" fontId="15" fillId="0" borderId="173" xfId="0" applyNumberFormat="1" applyFont="1" applyFill="1" applyBorder="1" applyAlignment="1" applyProtection="1">
      <alignment horizontal="center" vertical="center"/>
    </xf>
    <xf numFmtId="0" fontId="15" fillId="0" borderId="428" xfId="0" applyNumberFormat="1" applyFont="1" applyFill="1" applyBorder="1" applyAlignment="1" applyProtection="1">
      <alignment horizontal="center" vertical="center"/>
    </xf>
    <xf numFmtId="0" fontId="11" fillId="0" borderId="405" xfId="0" applyNumberFormat="1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11" xfId="0" applyFont="1" applyFill="1" applyBorder="1" applyAlignment="1" applyProtection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16" fillId="2" borderId="59" xfId="0" applyFont="1" applyFill="1" applyBorder="1" applyAlignment="1" applyProtection="1">
      <alignment horizontal="center" vertical="center"/>
    </xf>
    <xf numFmtId="0" fontId="15" fillId="23" borderId="447" xfId="0" applyNumberFormat="1" applyFont="1" applyFill="1" applyBorder="1" applyAlignment="1" applyProtection="1">
      <alignment horizontal="center" vertical="center"/>
    </xf>
    <xf numFmtId="0" fontId="15" fillId="23" borderId="173" xfId="0" applyNumberFormat="1" applyFont="1" applyFill="1" applyBorder="1" applyAlignment="1" applyProtection="1">
      <alignment horizontal="center" vertical="center"/>
    </xf>
    <xf numFmtId="0" fontId="11" fillId="23" borderId="174" xfId="0" applyNumberFormat="1" applyFont="1" applyFill="1" applyBorder="1" applyAlignment="1" applyProtection="1">
      <alignment horizontal="center" vertical="center"/>
    </xf>
    <xf numFmtId="0" fontId="15" fillId="23" borderId="428" xfId="0" applyNumberFormat="1" applyFont="1" applyFill="1" applyBorder="1" applyAlignment="1" applyProtection="1">
      <alignment horizontal="center" vertical="center"/>
    </xf>
    <xf numFmtId="0" fontId="11" fillId="23" borderId="405" xfId="0" applyNumberFormat="1" applyFont="1" applyFill="1" applyBorder="1" applyAlignment="1" applyProtection="1">
      <alignment horizontal="center" vertical="center"/>
    </xf>
    <xf numFmtId="0" fontId="15" fillId="9" borderId="447" xfId="0" applyNumberFormat="1" applyFont="1" applyFill="1" applyBorder="1" applyAlignment="1" applyProtection="1">
      <alignment horizontal="center" vertical="center"/>
    </xf>
    <xf numFmtId="0" fontId="15" fillId="9" borderId="173" xfId="0" applyNumberFormat="1" applyFont="1" applyFill="1" applyBorder="1" applyAlignment="1" applyProtection="1">
      <alignment horizontal="center" vertical="center"/>
    </xf>
    <xf numFmtId="0" fontId="11" fillId="9" borderId="174" xfId="0" applyNumberFormat="1" applyFont="1" applyFill="1" applyBorder="1" applyAlignment="1" applyProtection="1">
      <alignment horizontal="center" vertical="center"/>
    </xf>
    <xf numFmtId="0" fontId="15" fillId="0" borderId="168" xfId="0" applyNumberFormat="1" applyFont="1" applyFill="1" applyBorder="1" applyAlignment="1" applyProtection="1">
      <alignment horizontal="center" vertical="center"/>
    </xf>
    <xf numFmtId="0" fontId="15" fillId="0" borderId="169" xfId="0" applyNumberFormat="1" applyFont="1" applyFill="1" applyBorder="1" applyAlignment="1" applyProtection="1">
      <alignment horizontal="center" vertical="center"/>
    </xf>
    <xf numFmtId="0" fontId="11" fillId="0" borderId="552" xfId="0" applyNumberFormat="1" applyFont="1" applyFill="1" applyBorder="1" applyAlignment="1" applyProtection="1">
      <alignment horizontal="center" vertical="center"/>
    </xf>
    <xf numFmtId="0" fontId="15" fillId="23" borderId="551" xfId="0" applyNumberFormat="1" applyFont="1" applyFill="1" applyBorder="1" applyAlignment="1" applyProtection="1">
      <alignment horizontal="center" vertical="center"/>
    </xf>
    <xf numFmtId="0" fontId="15" fillId="23" borderId="169" xfId="0" applyNumberFormat="1" applyFont="1" applyFill="1" applyBorder="1" applyAlignment="1" applyProtection="1">
      <alignment horizontal="center" vertical="center"/>
    </xf>
    <xf numFmtId="0" fontId="11" fillId="23" borderId="175" xfId="0" applyNumberFormat="1" applyFont="1" applyFill="1" applyBorder="1" applyAlignment="1" applyProtection="1">
      <alignment horizontal="center" vertical="center"/>
    </xf>
    <xf numFmtId="0" fontId="15" fillId="0" borderId="553" xfId="0" applyNumberFormat="1" applyFont="1" applyFill="1" applyBorder="1" applyAlignment="1" applyProtection="1">
      <alignment horizontal="center" vertical="center"/>
    </xf>
    <xf numFmtId="0" fontId="15" fillId="9" borderId="551" xfId="0" applyNumberFormat="1" applyFont="1" applyFill="1" applyBorder="1" applyAlignment="1" applyProtection="1">
      <alignment horizontal="center" vertical="center"/>
    </xf>
    <xf numFmtId="0" fontId="15" fillId="9" borderId="169" xfId="0" applyNumberFormat="1" applyFont="1" applyFill="1" applyBorder="1" applyAlignment="1" applyProtection="1">
      <alignment horizontal="center" vertical="center"/>
    </xf>
    <xf numFmtId="0" fontId="11" fillId="9" borderId="175" xfId="0" applyNumberFormat="1" applyFont="1" applyFill="1" applyBorder="1" applyAlignment="1" applyProtection="1">
      <alignment horizontal="center" vertical="center"/>
    </xf>
    <xf numFmtId="0" fontId="15" fillId="23" borderId="553" xfId="0" applyNumberFormat="1" applyFont="1" applyFill="1" applyBorder="1" applyAlignment="1" applyProtection="1">
      <alignment horizontal="center" vertical="center"/>
    </xf>
    <xf numFmtId="0" fontId="11" fillId="23" borderId="552" xfId="0" applyNumberFormat="1" applyFont="1" applyFill="1" applyBorder="1" applyAlignment="1" applyProtection="1">
      <alignment horizontal="center" vertical="center"/>
    </xf>
    <xf numFmtId="0" fontId="16" fillId="2" borderId="131" xfId="0" applyFont="1" applyFill="1" applyBorder="1" applyAlignment="1" applyProtection="1">
      <alignment horizontal="center" vertical="center"/>
    </xf>
    <xf numFmtId="0" fontId="15" fillId="0" borderId="190" xfId="0" applyNumberFormat="1" applyFont="1" applyFill="1" applyBorder="1" applyAlignment="1" applyProtection="1">
      <alignment horizontal="center" vertical="center"/>
    </xf>
    <xf numFmtId="0" fontId="15" fillId="0" borderId="191" xfId="0" applyNumberFormat="1" applyFont="1" applyFill="1" applyBorder="1" applyAlignment="1" applyProtection="1">
      <alignment horizontal="center" vertical="center"/>
    </xf>
    <xf numFmtId="0" fontId="11" fillId="0" borderId="351" xfId="0" applyNumberFormat="1" applyFont="1" applyFill="1" applyBorder="1" applyAlignment="1" applyProtection="1">
      <alignment horizontal="center" vertical="center"/>
    </xf>
    <xf numFmtId="0" fontId="15" fillId="23" borderId="549" xfId="0" applyNumberFormat="1" applyFont="1" applyFill="1" applyBorder="1" applyAlignment="1" applyProtection="1">
      <alignment horizontal="center" vertical="center"/>
    </xf>
    <xf numFmtId="0" fontId="15" fillId="23" borderId="191" xfId="0" applyNumberFormat="1" applyFont="1" applyFill="1" applyBorder="1" applyAlignment="1" applyProtection="1">
      <alignment horizontal="center" vertical="center"/>
    </xf>
    <xf numFmtId="0" fontId="11" fillId="23" borderId="536" xfId="0" applyNumberFormat="1" applyFont="1" applyFill="1" applyBorder="1" applyAlignment="1" applyProtection="1">
      <alignment horizontal="center" vertical="center"/>
    </xf>
    <xf numFmtId="0" fontId="15" fillId="0" borderId="548" xfId="0" applyNumberFormat="1" applyFont="1" applyFill="1" applyBorder="1" applyAlignment="1" applyProtection="1">
      <alignment horizontal="center" vertical="center"/>
    </xf>
    <xf numFmtId="0" fontId="15" fillId="9" borderId="549" xfId="0" applyNumberFormat="1" applyFont="1" applyFill="1" applyBorder="1" applyAlignment="1" applyProtection="1">
      <alignment horizontal="center" vertical="center"/>
    </xf>
    <xf numFmtId="0" fontId="15" fillId="9" borderId="191" xfId="0" applyNumberFormat="1" applyFont="1" applyFill="1" applyBorder="1" applyAlignment="1" applyProtection="1">
      <alignment horizontal="center" vertical="center"/>
    </xf>
    <xf numFmtId="0" fontId="11" fillId="9" borderId="536" xfId="0" applyNumberFormat="1" applyFont="1" applyFill="1" applyBorder="1" applyAlignment="1" applyProtection="1">
      <alignment horizontal="center" vertical="center"/>
    </xf>
    <xf numFmtId="0" fontId="15" fillId="23" borderId="548" xfId="0" applyNumberFormat="1" applyFont="1" applyFill="1" applyBorder="1" applyAlignment="1" applyProtection="1">
      <alignment horizontal="center" vertical="center"/>
    </xf>
    <xf numFmtId="0" fontId="11" fillId="23" borderId="351" xfId="0" applyNumberFormat="1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6" fillId="2" borderId="64" xfId="0" applyFont="1" applyFill="1" applyBorder="1" applyAlignment="1" applyProtection="1">
      <alignment horizontal="center" vertical="center"/>
    </xf>
    <xf numFmtId="0" fontId="13" fillId="2" borderId="130" xfId="0" applyFont="1" applyFill="1" applyBorder="1" applyAlignment="1" applyProtection="1">
      <alignment horizontal="center" vertical="center"/>
    </xf>
    <xf numFmtId="0" fontId="16" fillId="2" borderId="82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horizontal="center" vertical="center"/>
    </xf>
    <xf numFmtId="0" fontId="13" fillId="2" borderId="198" xfId="0" applyFont="1" applyFill="1" applyBorder="1" applyAlignment="1" applyProtection="1">
      <alignment horizontal="center" vertical="center"/>
    </xf>
    <xf numFmtId="0" fontId="22" fillId="9" borderId="266" xfId="0" applyFont="1" applyFill="1" applyBorder="1" applyAlignment="1"/>
    <xf numFmtId="0" fontId="22" fillId="9" borderId="319" xfId="0" applyFont="1" applyFill="1" applyBorder="1" applyAlignment="1"/>
    <xf numFmtId="0" fontId="16" fillId="2" borderId="101" xfId="0" applyFont="1" applyFill="1" applyBorder="1" applyAlignment="1" applyProtection="1">
      <alignment horizontal="center" vertical="center"/>
    </xf>
    <xf numFmtId="0" fontId="15" fillId="0" borderId="187" xfId="0" applyNumberFormat="1" applyFont="1" applyFill="1" applyBorder="1" applyAlignment="1" applyProtection="1">
      <alignment horizontal="center" vertical="center"/>
    </xf>
    <xf numFmtId="0" fontId="15" fillId="0" borderId="181" xfId="0" applyNumberFormat="1" applyFont="1" applyFill="1" applyBorder="1" applyAlignment="1" applyProtection="1">
      <alignment horizontal="center" vertical="center"/>
    </xf>
    <xf numFmtId="0" fontId="11" fillId="0" borderId="451" xfId="0" applyNumberFormat="1" applyFont="1" applyFill="1" applyBorder="1" applyAlignment="1" applyProtection="1">
      <alignment horizontal="center" vertical="center"/>
    </xf>
    <xf numFmtId="0" fontId="15" fillId="0" borderId="426" xfId="0" applyNumberFormat="1" applyFont="1" applyFill="1" applyBorder="1" applyAlignment="1" applyProtection="1">
      <alignment horizontal="center" vertical="center"/>
    </xf>
    <xf numFmtId="0" fontId="11" fillId="0" borderId="400" xfId="0" applyNumberFormat="1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46" fillId="9" borderId="407" xfId="0" applyFont="1" applyFill="1" applyBorder="1" applyAlignment="1"/>
    <xf numFmtId="0" fontId="13" fillId="2" borderId="19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16" fillId="9" borderId="561" xfId="0" applyFont="1" applyFill="1" applyBorder="1" applyAlignment="1">
      <alignment horizontal="center" vertical="center"/>
    </xf>
    <xf numFmtId="0" fontId="16" fillId="9" borderId="107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30" fillId="4" borderId="55" xfId="0" applyFont="1" applyFill="1" applyBorder="1" applyAlignment="1">
      <alignment vertical="center"/>
    </xf>
    <xf numFmtId="0" fontId="75" fillId="0" borderId="134" xfId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5" fillId="9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24" xfId="0" applyBorder="1"/>
    <xf numFmtId="0" fontId="9" fillId="22" borderId="60" xfId="0" applyFont="1" applyFill="1" applyBorder="1" applyAlignment="1">
      <alignment horizontal="center" vertical="center"/>
    </xf>
    <xf numFmtId="0" fontId="9" fillId="22" borderId="6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9" borderId="564" xfId="0" applyFont="1" applyFill="1" applyBorder="1" applyAlignment="1" applyProtection="1">
      <alignment horizontal="center" vertical="center"/>
    </xf>
    <xf numFmtId="0" fontId="16" fillId="0" borderId="223" xfId="0" applyFont="1" applyFill="1" applyBorder="1" applyAlignment="1" applyProtection="1">
      <alignment horizontal="center" vertical="center"/>
    </xf>
    <xf numFmtId="0" fontId="16" fillId="0" borderId="222" xfId="0" applyFont="1" applyFill="1" applyBorder="1" applyAlignment="1" applyProtection="1">
      <alignment horizontal="center" vertical="center"/>
    </xf>
    <xf numFmtId="0" fontId="93" fillId="0" borderId="222" xfId="0" applyFont="1" applyFill="1" applyBorder="1" applyAlignment="1" applyProtection="1">
      <alignment horizontal="center" vertical="center"/>
    </xf>
    <xf numFmtId="0" fontId="15" fillId="2" borderId="567" xfId="0" applyFont="1" applyFill="1" applyBorder="1" applyAlignment="1" applyProtection="1">
      <alignment horizontal="right" vertical="center"/>
    </xf>
    <xf numFmtId="0" fontId="13" fillId="12" borderId="168" xfId="0" applyFont="1" applyFill="1" applyBorder="1" applyAlignment="1" applyProtection="1">
      <alignment horizontal="center" vertical="center"/>
    </xf>
    <xf numFmtId="0" fontId="15" fillId="2" borderId="568" xfId="0" applyFont="1" applyFill="1" applyBorder="1" applyAlignment="1" applyProtection="1">
      <alignment horizontal="right" vertical="center"/>
    </xf>
    <xf numFmtId="0" fontId="13" fillId="0" borderId="169" xfId="0" applyFont="1" applyFill="1" applyBorder="1" applyAlignment="1" applyProtection="1">
      <alignment horizontal="center" vertical="center"/>
    </xf>
    <xf numFmtId="0" fontId="15" fillId="2" borderId="568" xfId="0" applyFont="1" applyFill="1" applyBorder="1" applyAlignment="1">
      <alignment horizontal="right" vertical="center"/>
    </xf>
    <xf numFmtId="0" fontId="13" fillId="12" borderId="169" xfId="0" applyFont="1" applyFill="1" applyBorder="1" applyAlignment="1" applyProtection="1">
      <alignment horizontal="center" vertical="center"/>
    </xf>
    <xf numFmtId="0" fontId="55" fillId="12" borderId="169" xfId="0" applyFont="1" applyFill="1" applyBorder="1" applyAlignment="1" applyProtection="1">
      <alignment horizontal="center" vertical="center"/>
    </xf>
    <xf numFmtId="0" fontId="13" fillId="12" borderId="169" xfId="0" applyFont="1" applyFill="1" applyBorder="1" applyAlignment="1" applyProtection="1">
      <alignment horizontal="center"/>
    </xf>
    <xf numFmtId="0" fontId="13" fillId="0" borderId="169" xfId="0" applyFont="1" applyFill="1" applyBorder="1" applyAlignment="1" applyProtection="1">
      <alignment horizontal="center"/>
    </xf>
    <xf numFmtId="0" fontId="40" fillId="2" borderId="568" xfId="0" applyFont="1" applyFill="1" applyBorder="1" applyAlignment="1" applyProtection="1">
      <alignment horizontal="right" vertical="center"/>
    </xf>
    <xf numFmtId="0" fontId="41" fillId="2" borderId="569" xfId="0" applyFont="1" applyFill="1" applyBorder="1" applyAlignment="1" applyProtection="1">
      <alignment horizontal="right" vertical="center"/>
    </xf>
    <xf numFmtId="0" fontId="50" fillId="12" borderId="570" xfId="0" applyFont="1" applyFill="1" applyBorder="1" applyAlignment="1" applyProtection="1">
      <alignment horizontal="center" vertical="center"/>
    </xf>
    <xf numFmtId="0" fontId="16" fillId="9" borderId="377" xfId="0" applyFont="1" applyFill="1" applyBorder="1" applyAlignment="1" applyProtection="1">
      <alignment horizontal="center" vertical="center"/>
    </xf>
    <xf numFmtId="0" fontId="16" fillId="9" borderId="378" xfId="0" applyFont="1" applyFill="1" applyBorder="1" applyAlignment="1" applyProtection="1">
      <alignment horizontal="center" vertical="center"/>
    </xf>
    <xf numFmtId="0" fontId="16" fillId="9" borderId="379" xfId="0" applyFont="1" applyFill="1" applyBorder="1" applyAlignment="1" applyProtection="1">
      <alignment horizontal="center" vertical="center"/>
    </xf>
    <xf numFmtId="0" fontId="16" fillId="9" borderId="380" xfId="0" applyFont="1" applyFill="1" applyBorder="1" applyAlignment="1" applyProtection="1">
      <alignment horizontal="center" vertical="center"/>
    </xf>
    <xf numFmtId="0" fontId="16" fillId="9" borderId="381" xfId="0" applyFont="1" applyFill="1" applyBorder="1" applyAlignment="1" applyProtection="1">
      <alignment horizontal="center" vertical="center"/>
    </xf>
    <xf numFmtId="0" fontId="15" fillId="9" borderId="566" xfId="0" applyFont="1" applyFill="1" applyBorder="1" applyAlignment="1" applyProtection="1">
      <alignment horizontal="center" vertical="center"/>
    </xf>
    <xf numFmtId="0" fontId="15" fillId="9" borderId="165" xfId="0" applyNumberFormat="1" applyFont="1" applyFill="1" applyBorder="1" applyAlignment="1" applyProtection="1">
      <alignment horizontal="center" vertical="center"/>
    </xf>
    <xf numFmtId="0" fontId="15" fillId="9" borderId="166" xfId="0" applyNumberFormat="1" applyFont="1" applyFill="1" applyBorder="1" applyAlignment="1" applyProtection="1">
      <alignment horizontal="center" vertical="center"/>
    </xf>
    <xf numFmtId="0" fontId="15" fillId="9" borderId="182" xfId="0" applyNumberFormat="1" applyFont="1" applyFill="1" applyBorder="1" applyAlignment="1" applyProtection="1">
      <alignment horizontal="center" vertical="center"/>
    </xf>
    <xf numFmtId="0" fontId="15" fillId="9" borderId="156" xfId="0" applyNumberFormat="1" applyFont="1" applyFill="1" applyBorder="1" applyAlignment="1" applyProtection="1">
      <alignment horizontal="center" vertical="center"/>
    </xf>
    <xf numFmtId="0" fontId="15" fillId="9" borderId="150" xfId="0" applyNumberFormat="1" applyFont="1" applyFill="1" applyBorder="1" applyAlignment="1" applyProtection="1">
      <alignment horizontal="center" vertical="center"/>
    </xf>
    <xf numFmtId="0" fontId="15" fillId="9" borderId="181" xfId="0" applyNumberFormat="1" applyFont="1" applyFill="1" applyBorder="1" applyAlignment="1" applyProtection="1">
      <alignment horizontal="center" vertical="center"/>
    </xf>
    <xf numFmtId="0" fontId="11" fillId="9" borderId="157" xfId="0" applyNumberFormat="1" applyFont="1" applyFill="1" applyBorder="1" applyAlignment="1" applyProtection="1">
      <alignment horizontal="center" vertical="center"/>
    </xf>
    <xf numFmtId="0" fontId="11" fillId="9" borderId="152" xfId="0" applyNumberFormat="1" applyFont="1" applyFill="1" applyBorder="1" applyAlignment="1" applyProtection="1">
      <alignment horizontal="center" vertical="center"/>
    </xf>
    <xf numFmtId="0" fontId="11" fillId="9" borderId="451" xfId="0" applyNumberFormat="1" applyFont="1" applyFill="1" applyBorder="1" applyAlignment="1" applyProtection="1">
      <alignment horizontal="center" vertical="center"/>
    </xf>
    <xf numFmtId="0" fontId="15" fillId="9" borderId="419" xfId="0" applyNumberFormat="1" applyFont="1" applyFill="1" applyBorder="1" applyAlignment="1" applyProtection="1">
      <alignment horizontal="center" vertical="center"/>
    </xf>
    <xf numFmtId="0" fontId="15" fillId="9" borderId="411" xfId="0" applyNumberFormat="1" applyFont="1" applyFill="1" applyBorder="1" applyAlignment="1" applyProtection="1">
      <alignment horizontal="center" vertical="center"/>
    </xf>
    <xf numFmtId="0" fontId="15" fillId="9" borderId="410" xfId="0" applyNumberFormat="1" applyFont="1" applyFill="1" applyBorder="1" applyAlignment="1" applyProtection="1">
      <alignment horizontal="center" vertical="center"/>
    </xf>
    <xf numFmtId="0" fontId="15" fillId="9" borderId="422" xfId="0" applyNumberFormat="1" applyFont="1" applyFill="1" applyBorder="1" applyAlignment="1" applyProtection="1">
      <alignment horizontal="center" vertical="center"/>
    </xf>
    <xf numFmtId="0" fontId="15" fillId="9" borderId="413" xfId="0" applyNumberFormat="1" applyFont="1" applyFill="1" applyBorder="1" applyAlignment="1" applyProtection="1">
      <alignment horizontal="center" vertical="center"/>
    </xf>
    <xf numFmtId="0" fontId="15" fillId="9" borderId="415" xfId="0" applyNumberFormat="1" applyFont="1" applyFill="1" applyBorder="1" applyAlignment="1" applyProtection="1">
      <alignment horizontal="center" vertical="center"/>
    </xf>
    <xf numFmtId="0" fontId="15" fillId="9" borderId="417" xfId="0" applyNumberFormat="1" applyFont="1" applyFill="1" applyBorder="1" applyAlignment="1" applyProtection="1">
      <alignment horizontal="center" vertical="center"/>
    </xf>
    <xf numFmtId="0" fontId="15" fillId="9" borderId="423" xfId="0" applyNumberFormat="1" applyFont="1" applyFill="1" applyBorder="1" applyAlignment="1" applyProtection="1">
      <alignment horizontal="center" vertical="center"/>
    </xf>
    <xf numFmtId="0" fontId="15" fillId="19" borderId="408" xfId="0" applyNumberFormat="1" applyFont="1" applyFill="1" applyBorder="1" applyAlignment="1" applyProtection="1">
      <alignment horizontal="center" vertical="center"/>
    </xf>
    <xf numFmtId="0" fontId="15" fillId="19" borderId="411" xfId="0" applyNumberFormat="1" applyFont="1" applyFill="1" applyBorder="1" applyAlignment="1" applyProtection="1">
      <alignment horizontal="center" vertical="center"/>
    </xf>
    <xf numFmtId="0" fontId="15" fillId="19" borderId="412" xfId="0" applyNumberFormat="1" applyFont="1" applyFill="1" applyBorder="1" applyAlignment="1" applyProtection="1">
      <alignment horizontal="center" vertical="center"/>
    </xf>
    <xf numFmtId="0" fontId="15" fillId="19" borderId="413" xfId="0" applyNumberFormat="1" applyFont="1" applyFill="1" applyBorder="1" applyAlignment="1" applyProtection="1">
      <alignment horizontal="center" vertical="center"/>
    </xf>
    <xf numFmtId="0" fontId="15" fillId="19" borderId="415" xfId="0" applyNumberFormat="1" applyFont="1" applyFill="1" applyBorder="1" applyAlignment="1" applyProtection="1">
      <alignment horizontal="center" vertical="center"/>
    </xf>
    <xf numFmtId="0" fontId="15" fillId="19" borderId="417" xfId="0" applyNumberFormat="1" applyFont="1" applyFill="1" applyBorder="1" applyAlignment="1" applyProtection="1">
      <alignment horizontal="center" vertical="center"/>
    </xf>
    <xf numFmtId="0" fontId="11" fillId="19" borderId="414" xfId="0" applyNumberFormat="1" applyFont="1" applyFill="1" applyBorder="1" applyAlignment="1" applyProtection="1">
      <alignment horizontal="center" vertical="center"/>
    </xf>
    <xf numFmtId="0" fontId="11" fillId="19" borderId="416" xfId="0" applyNumberFormat="1" applyFont="1" applyFill="1" applyBorder="1" applyAlignment="1" applyProtection="1">
      <alignment horizontal="center" vertical="center"/>
    </xf>
    <xf numFmtId="0" fontId="11" fillId="19" borderId="418" xfId="0" applyNumberFormat="1" applyFont="1" applyFill="1" applyBorder="1" applyAlignment="1" applyProtection="1">
      <alignment horizontal="center" vertical="center"/>
    </xf>
    <xf numFmtId="0" fontId="15" fillId="19" borderId="162" xfId="0" applyNumberFormat="1" applyFont="1" applyFill="1" applyBorder="1" applyAlignment="1" applyProtection="1">
      <alignment horizontal="center" vertical="center"/>
    </xf>
    <xf numFmtId="0" fontId="15" fillId="19" borderId="163" xfId="0" applyNumberFormat="1" applyFont="1" applyFill="1" applyBorder="1" applyAlignment="1" applyProtection="1">
      <alignment horizontal="center" vertical="center"/>
    </xf>
    <xf numFmtId="0" fontId="15" fillId="19" borderId="426" xfId="0" applyNumberFormat="1" applyFont="1" applyFill="1" applyBorder="1" applyAlignment="1" applyProtection="1">
      <alignment horizontal="center" vertical="center"/>
    </xf>
    <xf numFmtId="0" fontId="15" fillId="19" borderId="156" xfId="0" applyNumberFormat="1" applyFont="1" applyFill="1" applyBorder="1" applyAlignment="1" applyProtection="1">
      <alignment horizontal="center" vertical="center"/>
    </xf>
    <xf numFmtId="0" fontId="15" fillId="19" borderId="150" xfId="0" applyNumberFormat="1" applyFont="1" applyFill="1" applyBorder="1" applyAlignment="1" applyProtection="1">
      <alignment horizontal="center" vertical="center"/>
    </xf>
    <xf numFmtId="0" fontId="15" fillId="19" borderId="181" xfId="0" applyNumberFormat="1" applyFont="1" applyFill="1" applyBorder="1" applyAlignment="1" applyProtection="1">
      <alignment horizontal="center" vertical="center"/>
    </xf>
    <xf numFmtId="0" fontId="11" fillId="19" borderId="157" xfId="0" applyNumberFormat="1" applyFont="1" applyFill="1" applyBorder="1" applyAlignment="1" applyProtection="1">
      <alignment horizontal="center" vertical="center"/>
    </xf>
    <xf numFmtId="0" fontId="11" fillId="19" borderId="152" xfId="0" applyNumberFormat="1" applyFont="1" applyFill="1" applyBorder="1" applyAlignment="1" applyProtection="1">
      <alignment horizontal="center" vertical="center"/>
    </xf>
    <xf numFmtId="0" fontId="11" fillId="19" borderId="451" xfId="0" applyNumberFormat="1" applyFont="1" applyFill="1" applyBorder="1" applyAlignment="1" applyProtection="1">
      <alignment horizontal="center" vertical="center"/>
    </xf>
    <xf numFmtId="0" fontId="15" fillId="19" borderId="165" xfId="0" applyNumberFormat="1" applyFont="1" applyFill="1" applyBorder="1" applyAlignment="1" applyProtection="1">
      <alignment horizontal="center" vertical="center"/>
    </xf>
    <xf numFmtId="0" fontId="15" fillId="19" borderId="166" xfId="0" applyNumberFormat="1" applyFont="1" applyFill="1" applyBorder="1" applyAlignment="1" applyProtection="1">
      <alignment horizontal="center" vertical="center"/>
    </xf>
    <xf numFmtId="0" fontId="15" fillId="19" borderId="182" xfId="0" applyNumberFormat="1" applyFont="1" applyFill="1" applyBorder="1" applyAlignment="1" applyProtection="1">
      <alignment horizontal="center" vertical="center"/>
    </xf>
    <xf numFmtId="0" fontId="15" fillId="19" borderId="419" xfId="0" applyNumberFormat="1" applyFont="1" applyFill="1" applyBorder="1" applyAlignment="1" applyProtection="1">
      <alignment horizontal="center" vertical="center"/>
    </xf>
    <xf numFmtId="0" fontId="15" fillId="19" borderId="410" xfId="0" applyNumberFormat="1" applyFont="1" applyFill="1" applyBorder="1" applyAlignment="1" applyProtection="1">
      <alignment horizontal="center" vertical="center"/>
    </xf>
    <xf numFmtId="0" fontId="15" fillId="19" borderId="422" xfId="0" applyNumberFormat="1" applyFont="1" applyFill="1" applyBorder="1" applyAlignment="1" applyProtection="1">
      <alignment horizontal="center" vertical="center"/>
    </xf>
    <xf numFmtId="0" fontId="15" fillId="19" borderId="423" xfId="0" applyNumberFormat="1" applyFont="1" applyFill="1" applyBorder="1" applyAlignment="1" applyProtection="1">
      <alignment horizontal="center" vertical="center"/>
    </xf>
    <xf numFmtId="0" fontId="11" fillId="19" borderId="421" xfId="0" applyNumberFormat="1" applyFont="1" applyFill="1" applyBorder="1" applyAlignment="1" applyProtection="1">
      <alignment horizontal="center" vertical="center"/>
    </xf>
    <xf numFmtId="0" fontId="11" fillId="19" borderId="424" xfId="0" applyNumberFormat="1" applyFont="1" applyFill="1" applyBorder="1" applyAlignment="1" applyProtection="1">
      <alignment horizontal="center" vertical="center"/>
    </xf>
    <xf numFmtId="0" fontId="11" fillId="9" borderId="573" xfId="0" applyNumberFormat="1" applyFont="1" applyFill="1" applyBorder="1" applyAlignment="1" applyProtection="1">
      <alignment horizontal="center" vertical="center"/>
    </xf>
    <xf numFmtId="0" fontId="11" fillId="9" borderId="416" xfId="0" applyNumberFormat="1" applyFont="1" applyFill="1" applyBorder="1" applyAlignment="1" applyProtection="1">
      <alignment horizontal="center" vertical="center"/>
    </xf>
    <xf numFmtId="0" fontId="11" fillId="9" borderId="574" xfId="0" applyNumberFormat="1" applyFont="1" applyFill="1" applyBorder="1" applyAlignment="1" applyProtection="1">
      <alignment horizontal="center" vertical="center"/>
    </xf>
    <xf numFmtId="0" fontId="11" fillId="9" borderId="575" xfId="0" applyNumberFormat="1" applyFont="1" applyFill="1" applyBorder="1" applyAlignment="1" applyProtection="1">
      <alignment horizontal="center" vertical="center"/>
    </xf>
    <xf numFmtId="0" fontId="16" fillId="14" borderId="65" xfId="0" applyFont="1" applyFill="1" applyBorder="1" applyAlignment="1">
      <alignment horizontal="center"/>
    </xf>
    <xf numFmtId="0" fontId="16" fillId="14" borderId="69" xfId="0" applyFont="1" applyFill="1" applyBorder="1" applyAlignment="1">
      <alignment horizontal="center"/>
    </xf>
    <xf numFmtId="0" fontId="16" fillId="14" borderId="70" xfId="0" applyFont="1" applyFill="1" applyBorder="1" applyAlignment="1">
      <alignment horizontal="center"/>
    </xf>
    <xf numFmtId="0" fontId="27" fillId="14" borderId="127" xfId="0" applyFont="1" applyFill="1" applyBorder="1" applyAlignment="1"/>
    <xf numFmtId="0" fontId="27" fillId="14" borderId="60" xfId="0" applyFont="1" applyFill="1" applyBorder="1" applyAlignment="1">
      <alignment horizontal="center" vertical="center"/>
    </xf>
    <xf numFmtId="0" fontId="27" fillId="14" borderId="51" xfId="0" applyFont="1" applyFill="1" applyBorder="1" applyAlignment="1">
      <alignment vertical="center"/>
    </xf>
    <xf numFmtId="0" fontId="9" fillId="14" borderId="535" xfId="0" quotePrefix="1" applyFont="1" applyFill="1" applyBorder="1" applyAlignment="1">
      <alignment horizontal="center" vertical="center"/>
    </xf>
    <xf numFmtId="0" fontId="27" fillId="14" borderId="18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vertical="center"/>
    </xf>
    <xf numFmtId="0" fontId="13" fillId="14" borderId="61" xfId="0" applyFont="1" applyFill="1" applyBorder="1" applyAlignment="1">
      <alignment vertical="center"/>
    </xf>
    <xf numFmtId="0" fontId="27" fillId="14" borderId="97" xfId="0" applyFont="1" applyFill="1" applyBorder="1" applyAlignment="1">
      <alignment vertical="center"/>
    </xf>
    <xf numFmtId="0" fontId="27" fillId="14" borderId="61" xfId="0" applyFont="1" applyFill="1" applyBorder="1" applyAlignment="1">
      <alignment vertical="center"/>
    </xf>
    <xf numFmtId="0" fontId="98" fillId="0" borderId="227" xfId="0" applyFont="1" applyFill="1" applyBorder="1" applyAlignment="1">
      <alignment horizontal="center"/>
    </xf>
    <xf numFmtId="0" fontId="98" fillId="0" borderId="81" xfId="0" applyFont="1" applyFill="1" applyBorder="1" applyAlignment="1">
      <alignment horizontal="center"/>
    </xf>
    <xf numFmtId="0" fontId="80" fillId="0" borderId="65" xfId="0" quotePrefix="1" applyFont="1" applyBorder="1" applyAlignment="1">
      <alignment horizontal="center" vertical="center"/>
    </xf>
    <xf numFmtId="0" fontId="99" fillId="0" borderId="532" xfId="0" applyFont="1" applyFill="1" applyBorder="1" applyAlignment="1">
      <alignment horizontal="center"/>
    </xf>
    <xf numFmtId="0" fontId="99" fillId="0" borderId="528" xfId="0" applyFont="1" applyFill="1" applyBorder="1" applyAlignment="1">
      <alignment horizontal="center"/>
    </xf>
    <xf numFmtId="0" fontId="99" fillId="0" borderId="529" xfId="0" applyFont="1" applyFill="1" applyBorder="1" applyAlignment="1"/>
    <xf numFmtId="0" fontId="98" fillId="0" borderId="532" xfId="0" applyFont="1" applyFill="1" applyBorder="1" applyAlignment="1">
      <alignment horizontal="center"/>
    </xf>
    <xf numFmtId="0" fontId="98" fillId="0" borderId="528" xfId="0" applyFont="1" applyFill="1" applyBorder="1" applyAlignment="1">
      <alignment horizontal="center"/>
    </xf>
    <xf numFmtId="0" fontId="99" fillId="0" borderId="529" xfId="0" applyFont="1" applyFill="1" applyBorder="1" applyAlignment="1">
      <alignment horizontal="center" vertical="center"/>
    </xf>
    <xf numFmtId="0" fontId="99" fillId="0" borderId="533" xfId="0" applyFont="1" applyFill="1" applyBorder="1" applyAlignment="1">
      <alignment horizontal="center"/>
    </xf>
    <xf numFmtId="0" fontId="99" fillId="0" borderId="529" xfId="0" applyFont="1" applyFill="1" applyBorder="1" applyAlignment="1">
      <alignment horizontal="center"/>
    </xf>
    <xf numFmtId="0" fontId="98" fillId="12" borderId="62" xfId="0" applyFont="1" applyFill="1" applyBorder="1" applyAlignment="1">
      <alignment horizontal="center"/>
    </xf>
    <xf numFmtId="0" fontId="98" fillId="12" borderId="77" xfId="0" applyFont="1" applyFill="1" applyBorder="1" applyAlignment="1">
      <alignment horizontal="center"/>
    </xf>
    <xf numFmtId="0" fontId="80" fillId="0" borderId="69" xfId="0" quotePrefix="1" applyFont="1" applyBorder="1" applyAlignment="1">
      <alignment horizontal="center" vertical="center"/>
    </xf>
    <xf numFmtId="0" fontId="99" fillId="12" borderId="522" xfId="0" applyFont="1" applyFill="1" applyBorder="1" applyAlignment="1">
      <alignment horizontal="center"/>
    </xf>
    <xf numFmtId="0" fontId="99" fillId="12" borderId="523" xfId="0" applyFont="1" applyFill="1" applyBorder="1" applyAlignment="1">
      <alignment horizontal="center"/>
    </xf>
    <xf numFmtId="0" fontId="99" fillId="12" borderId="524" xfId="0" applyFont="1" applyFill="1" applyBorder="1" applyAlignment="1"/>
    <xf numFmtId="0" fontId="98" fillId="12" borderId="522" xfId="0" applyFont="1" applyFill="1" applyBorder="1" applyAlignment="1">
      <alignment horizontal="center"/>
    </xf>
    <xf numFmtId="0" fontId="98" fillId="12" borderId="523" xfId="0" applyFont="1" applyFill="1" applyBorder="1" applyAlignment="1">
      <alignment horizontal="center"/>
    </xf>
    <xf numFmtId="0" fontId="99" fillId="12" borderId="524" xfId="0" applyFont="1" applyFill="1" applyBorder="1" applyAlignment="1">
      <alignment horizontal="center" vertical="center"/>
    </xf>
    <xf numFmtId="0" fontId="99" fillId="12" borderId="530" xfId="0" applyFont="1" applyFill="1" applyBorder="1" applyAlignment="1">
      <alignment horizontal="center"/>
    </xf>
    <xf numFmtId="0" fontId="99" fillId="12" borderId="524" xfId="0" applyFont="1" applyFill="1" applyBorder="1" applyAlignment="1">
      <alignment horizontal="center"/>
    </xf>
    <xf numFmtId="0" fontId="98" fillId="0" borderId="62" xfId="0" applyFont="1" applyFill="1" applyBorder="1" applyAlignment="1">
      <alignment horizontal="center"/>
    </xf>
    <xf numFmtId="0" fontId="98" fillId="0" borderId="77" xfId="0" applyFont="1" applyFill="1" applyBorder="1" applyAlignment="1">
      <alignment horizontal="center"/>
    </xf>
    <xf numFmtId="0" fontId="99" fillId="0" borderId="522" xfId="0" applyFont="1" applyFill="1" applyBorder="1" applyAlignment="1">
      <alignment horizontal="center"/>
    </xf>
    <xf numFmtId="0" fontId="99" fillId="0" borderId="523" xfId="0" applyFont="1" applyFill="1" applyBorder="1" applyAlignment="1">
      <alignment horizontal="center"/>
    </xf>
    <xf numFmtId="0" fontId="99" fillId="0" borderId="524" xfId="0" applyFont="1" applyFill="1" applyBorder="1" applyAlignment="1"/>
    <xf numFmtId="0" fontId="98" fillId="0" borderId="522" xfId="0" applyFont="1" applyFill="1" applyBorder="1" applyAlignment="1">
      <alignment horizontal="center"/>
    </xf>
    <xf numFmtId="0" fontId="98" fillId="0" borderId="523" xfId="0" applyFont="1" applyFill="1" applyBorder="1" applyAlignment="1">
      <alignment horizontal="center"/>
    </xf>
    <xf numFmtId="0" fontId="99" fillId="0" borderId="524" xfId="0" applyFont="1" applyFill="1" applyBorder="1" applyAlignment="1">
      <alignment horizontal="center" vertical="center"/>
    </xf>
    <xf numFmtId="0" fontId="99" fillId="0" borderId="530" xfId="0" applyFont="1" applyFill="1" applyBorder="1" applyAlignment="1">
      <alignment horizontal="center"/>
    </xf>
    <xf numFmtId="0" fontId="99" fillId="0" borderId="524" xfId="0" applyFont="1" applyFill="1" applyBorder="1" applyAlignment="1">
      <alignment horizontal="center"/>
    </xf>
    <xf numFmtId="0" fontId="98" fillId="12" borderId="63" xfId="0" applyFont="1" applyFill="1" applyBorder="1" applyAlignment="1">
      <alignment horizontal="center"/>
    </xf>
    <xf numFmtId="0" fontId="98" fillId="12" borderId="534" xfId="0" applyFont="1" applyFill="1" applyBorder="1" applyAlignment="1">
      <alignment horizontal="center"/>
    </xf>
    <xf numFmtId="0" fontId="80" fillId="0" borderId="70" xfId="0" quotePrefix="1" applyFont="1" applyBorder="1" applyAlignment="1">
      <alignment horizontal="center" vertical="center"/>
    </xf>
    <xf numFmtId="0" fontId="99" fillId="12" borderId="525" xfId="0" applyFont="1" applyFill="1" applyBorder="1" applyAlignment="1">
      <alignment horizontal="center"/>
    </xf>
    <xf numFmtId="0" fontId="99" fillId="12" borderId="526" xfId="0" applyFont="1" applyFill="1" applyBorder="1" applyAlignment="1">
      <alignment horizontal="center"/>
    </xf>
    <xf numFmtId="0" fontId="99" fillId="12" borderId="527" xfId="0" applyFont="1" applyFill="1" applyBorder="1" applyAlignment="1"/>
    <xf numFmtId="0" fontId="98" fillId="12" borderId="525" xfId="0" applyFont="1" applyFill="1" applyBorder="1" applyAlignment="1">
      <alignment horizontal="center"/>
    </xf>
    <xf numFmtId="0" fontId="98" fillId="12" borderId="526" xfId="0" applyFont="1" applyFill="1" applyBorder="1" applyAlignment="1">
      <alignment horizontal="center"/>
    </xf>
    <xf numFmtId="0" fontId="99" fillId="12" borderId="527" xfId="0" applyFont="1" applyFill="1" applyBorder="1" applyAlignment="1">
      <alignment horizontal="center" vertical="center"/>
    </xf>
    <xf numFmtId="0" fontId="99" fillId="12" borderId="531" xfId="0" applyFont="1" applyFill="1" applyBorder="1" applyAlignment="1">
      <alignment horizontal="center"/>
    </xf>
    <xf numFmtId="0" fontId="99" fillId="12" borderId="527" xfId="0" applyFont="1" applyFill="1" applyBorder="1" applyAlignment="1">
      <alignment horizontal="center"/>
    </xf>
    <xf numFmtId="0" fontId="15" fillId="8" borderId="136" xfId="0" applyFont="1" applyFill="1" applyBorder="1" applyAlignment="1">
      <alignment horizontal="center"/>
    </xf>
    <xf numFmtId="0" fontId="15" fillId="9" borderId="136" xfId="0" applyFont="1" applyFill="1" applyBorder="1" applyAlignment="1">
      <alignment horizontal="center"/>
    </xf>
    <xf numFmtId="0" fontId="16" fillId="12" borderId="177" xfId="0" applyFont="1" applyFill="1" applyBorder="1" applyAlignment="1">
      <alignment horizontal="center" vertical="center"/>
    </xf>
    <xf numFmtId="0" fontId="31" fillId="9" borderId="538" xfId="0" applyFont="1" applyFill="1" applyBorder="1" applyAlignment="1">
      <alignment horizontal="center" vertical="center"/>
    </xf>
    <xf numFmtId="0" fontId="31" fillId="9" borderId="173" xfId="0" applyFont="1" applyFill="1" applyBorder="1" applyAlignment="1">
      <alignment horizontal="center" vertical="center"/>
    </xf>
    <xf numFmtId="0" fontId="31" fillId="9" borderId="169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/>
    </xf>
    <xf numFmtId="0" fontId="16" fillId="2" borderId="13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21" fillId="9" borderId="4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3" fillId="0" borderId="125" xfId="3" applyFont="1" applyFill="1" applyBorder="1" applyAlignment="1" applyProtection="1">
      <alignment vertical="center"/>
    </xf>
    <xf numFmtId="0" fontId="43" fillId="0" borderId="31" xfId="3" applyFont="1" applyFill="1" applyBorder="1" applyAlignment="1" applyProtection="1">
      <alignment vertical="center"/>
    </xf>
    <xf numFmtId="0" fontId="15" fillId="10" borderId="7" xfId="3" applyNumberFormat="1" applyFont="1" applyFill="1" applyBorder="1" applyAlignment="1" applyProtection="1">
      <alignment horizontal="center" vertical="center"/>
    </xf>
    <xf numFmtId="0" fontId="15" fillId="10" borderId="1" xfId="3" applyNumberFormat="1" applyFont="1" applyFill="1" applyBorder="1" applyAlignment="1" applyProtection="1">
      <alignment horizontal="center" vertical="center"/>
    </xf>
    <xf numFmtId="0" fontId="15" fillId="10" borderId="93" xfId="3" applyNumberFormat="1" applyFont="1" applyFill="1" applyBorder="1" applyAlignment="1" applyProtection="1">
      <alignment horizontal="center" vertical="center"/>
    </xf>
    <xf numFmtId="0" fontId="15" fillId="9" borderId="19" xfId="3" applyNumberFormat="1" applyFont="1" applyFill="1" applyBorder="1" applyAlignment="1" applyProtection="1">
      <alignment horizontal="center" vertical="center"/>
    </xf>
    <xf numFmtId="0" fontId="15" fillId="9" borderId="76" xfId="3" applyNumberFormat="1" applyFont="1" applyFill="1" applyBorder="1" applyAlignment="1" applyProtection="1">
      <alignment horizontal="center" vertical="center"/>
    </xf>
    <xf numFmtId="0" fontId="15" fillId="9" borderId="96" xfId="3" applyNumberFormat="1" applyFont="1" applyFill="1" applyBorder="1" applyAlignment="1" applyProtection="1">
      <alignment horizontal="center" vertical="center"/>
    </xf>
    <xf numFmtId="0" fontId="15" fillId="0" borderId="136" xfId="3" applyNumberFormat="1" applyFont="1" applyFill="1" applyBorder="1" applyAlignment="1" applyProtection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14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12" borderId="210" xfId="0" applyFont="1" applyFill="1" applyBorder="1" applyAlignment="1">
      <alignment horizontal="center" vertical="center"/>
    </xf>
    <xf numFmtId="0" fontId="11" fillId="12" borderId="211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9" fillId="0" borderId="22" xfId="3" applyFont="1" applyBorder="1"/>
    <xf numFmtId="0" fontId="4" fillId="0" borderId="22" xfId="3" applyBorder="1"/>
    <xf numFmtId="0" fontId="13" fillId="12" borderId="597" xfId="0" applyFont="1" applyFill="1" applyBorder="1" applyAlignment="1">
      <alignment horizontal="center" vertical="center" wrapText="1"/>
    </xf>
    <xf numFmtId="0" fontId="13" fillId="12" borderId="599" xfId="0" applyFont="1" applyFill="1" applyBorder="1" applyAlignment="1">
      <alignment horizontal="center" vertical="center" wrapText="1"/>
    </xf>
    <xf numFmtId="0" fontId="55" fillId="12" borderId="599" xfId="0" applyFont="1" applyFill="1" applyBorder="1" applyAlignment="1">
      <alignment horizontal="center" vertical="center" wrapText="1"/>
    </xf>
    <xf numFmtId="0" fontId="13" fillId="12" borderId="600" xfId="0" applyFont="1" applyFill="1" applyBorder="1" applyAlignment="1">
      <alignment horizontal="center" vertical="center" wrapText="1"/>
    </xf>
    <xf numFmtId="0" fontId="13" fillId="12" borderId="442" xfId="0" applyFont="1" applyFill="1" applyBorder="1" applyAlignment="1">
      <alignment horizontal="center" vertical="center" wrapText="1"/>
    </xf>
    <xf numFmtId="0" fontId="91" fillId="0" borderId="20" xfId="0" applyFont="1" applyBorder="1"/>
    <xf numFmtId="0" fontId="91" fillId="0" borderId="601" xfId="0" applyFont="1" applyBorder="1" applyAlignment="1"/>
    <xf numFmtId="0" fontId="91" fillId="0" borderId="602" xfId="0" applyFont="1" applyBorder="1" applyAlignment="1"/>
    <xf numFmtId="0" fontId="13" fillId="12" borderId="604" xfId="0" applyFont="1" applyFill="1" applyBorder="1" applyAlignment="1">
      <alignment horizontal="center" vertical="center" wrapText="1"/>
    </xf>
    <xf numFmtId="0" fontId="13" fillId="12" borderId="169" xfId="0" applyFont="1" applyFill="1" applyBorder="1" applyAlignment="1">
      <alignment horizontal="center" vertical="center" wrapText="1"/>
    </xf>
    <xf numFmtId="0" fontId="55" fillId="12" borderId="169" xfId="0" applyFont="1" applyFill="1" applyBorder="1" applyAlignment="1">
      <alignment horizontal="center" vertical="center" wrapText="1"/>
    </xf>
    <xf numFmtId="0" fontId="13" fillId="12" borderId="481" xfId="0" applyFont="1" applyFill="1" applyBorder="1" applyAlignment="1">
      <alignment horizontal="center" vertical="center" wrapText="1"/>
    </xf>
    <xf numFmtId="0" fontId="13" fillId="12" borderId="608" xfId="0" applyFont="1" applyFill="1" applyBorder="1" applyAlignment="1">
      <alignment horizontal="center" vertical="center" wrapText="1"/>
    </xf>
    <xf numFmtId="0" fontId="13" fillId="12" borderId="174" xfId="0" applyFont="1" applyFill="1" applyBorder="1" applyAlignment="1">
      <alignment horizontal="center" vertical="center" wrapText="1"/>
    </xf>
    <xf numFmtId="0" fontId="13" fillId="12" borderId="175" xfId="0" applyFont="1" applyFill="1" applyBorder="1" applyAlignment="1">
      <alignment horizontal="center" vertical="center" wrapText="1"/>
    </xf>
    <xf numFmtId="0" fontId="15" fillId="2" borderId="611" xfId="0" applyFont="1" applyFill="1" applyBorder="1" applyAlignment="1" applyProtection="1">
      <alignment horizontal="left" vertical="center"/>
    </xf>
    <xf numFmtId="0" fontId="11" fillId="10" borderId="37" xfId="0" applyFont="1" applyFill="1" applyBorder="1" applyAlignment="1">
      <alignment horizontal="left" vertical="center"/>
    </xf>
    <xf numFmtId="0" fontId="11" fillId="10" borderId="136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89" fillId="9" borderId="22" xfId="0" applyFont="1" applyFill="1" applyBorder="1" applyAlignment="1">
      <alignment horizontal="left" indent="1"/>
    </xf>
    <xf numFmtId="0" fontId="89" fillId="9" borderId="124" xfId="0" applyFont="1" applyFill="1" applyBorder="1" applyAlignment="1">
      <alignment horizontal="left" indent="1"/>
    </xf>
    <xf numFmtId="0" fontId="11" fillId="4" borderId="614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14" borderId="571" xfId="0" applyFont="1" applyFill="1" applyBorder="1" applyAlignment="1" applyProtection="1">
      <alignment horizontal="right" vertical="center"/>
    </xf>
    <xf numFmtId="0" fontId="15" fillId="14" borderId="572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11" fillId="9" borderId="58" xfId="0" applyFont="1" applyFill="1" applyBorder="1" applyAlignment="1">
      <alignment horizontal="center" vertical="center"/>
    </xf>
    <xf numFmtId="0" fontId="16" fillId="12" borderId="171" xfId="0" applyFont="1" applyFill="1" applyBorder="1" applyAlignment="1">
      <alignment horizontal="center" vertical="center"/>
    </xf>
    <xf numFmtId="0" fontId="16" fillId="12" borderId="168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55" xfId="0" applyFont="1" applyFill="1" applyBorder="1" applyAlignment="1">
      <alignment horizontal="center" vertical="center"/>
    </xf>
    <xf numFmtId="0" fontId="15" fillId="8" borderId="615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/>
    </xf>
    <xf numFmtId="0" fontId="31" fillId="8" borderId="11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center" vertical="center"/>
    </xf>
    <xf numFmtId="0" fontId="31" fillId="8" borderId="57" xfId="0" applyFont="1" applyFill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43" fillId="9" borderId="124" xfId="0" applyFont="1" applyFill="1" applyBorder="1" applyAlignment="1">
      <alignment horizontal="left" vertical="center"/>
    </xf>
    <xf numFmtId="0" fontId="11" fillId="9" borderId="119" xfId="0" applyFont="1" applyFill="1" applyBorder="1" applyAlignment="1">
      <alignment horizontal="center" vertical="center"/>
    </xf>
    <xf numFmtId="0" fontId="31" fillId="9" borderId="19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5" fillId="8" borderId="79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110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6" fillId="14" borderId="74" xfId="0" applyFont="1" applyFill="1" applyBorder="1" applyAlignment="1">
      <alignment horizontal="center" vertical="center"/>
    </xf>
    <xf numFmtId="0" fontId="15" fillId="14" borderId="79" xfId="0" applyFont="1" applyFill="1" applyBorder="1" applyAlignment="1">
      <alignment horizontal="center" vertical="center"/>
    </xf>
    <xf numFmtId="0" fontId="16" fillId="14" borderId="74" xfId="0" applyFont="1" applyFill="1" applyBorder="1" applyAlignment="1">
      <alignment horizontal="center"/>
    </xf>
    <xf numFmtId="0" fontId="15" fillId="14" borderId="22" xfId="0" applyFont="1" applyFill="1" applyBorder="1" applyAlignment="1">
      <alignment horizontal="center" vertical="center"/>
    </xf>
    <xf numFmtId="0" fontId="16" fillId="14" borderId="617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14" borderId="619" xfId="0" applyFont="1" applyFill="1" applyBorder="1" applyAlignment="1">
      <alignment horizontal="center"/>
    </xf>
    <xf numFmtId="0" fontId="16" fillId="8" borderId="534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6" fillId="14" borderId="63" xfId="0" applyFont="1" applyFill="1" applyBorder="1" applyAlignment="1">
      <alignment horizontal="center" vertical="center"/>
    </xf>
    <xf numFmtId="0" fontId="16" fillId="14" borderId="48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5" fillId="14" borderId="615" xfId="0" applyFont="1" applyFill="1" applyBorder="1" applyAlignment="1">
      <alignment horizontal="center" vertical="center"/>
    </xf>
    <xf numFmtId="0" fontId="16" fillId="14" borderId="534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/>
    </xf>
    <xf numFmtId="0" fontId="15" fillId="8" borderId="620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/>
    </xf>
    <xf numFmtId="0" fontId="16" fillId="8" borderId="94" xfId="0" applyFont="1" applyFill="1" applyBorder="1" applyAlignment="1">
      <alignment horizontal="center"/>
    </xf>
    <xf numFmtId="0" fontId="16" fillId="14" borderId="48" xfId="0" applyFont="1" applyFill="1" applyBorder="1" applyAlignment="1">
      <alignment horizontal="center"/>
    </xf>
    <xf numFmtId="0" fontId="16" fillId="14" borderId="534" xfId="0" applyFont="1" applyFill="1" applyBorder="1" applyAlignment="1">
      <alignment horizontal="center"/>
    </xf>
    <xf numFmtId="0" fontId="16" fillId="8" borderId="617" xfId="0" applyFont="1" applyFill="1" applyBorder="1" applyAlignment="1">
      <alignment horizontal="center" vertical="center"/>
    </xf>
    <xf numFmtId="0" fontId="16" fillId="8" borderId="619" xfId="0" applyFont="1" applyFill="1" applyBorder="1" applyAlignment="1">
      <alignment horizontal="center"/>
    </xf>
    <xf numFmtId="0" fontId="16" fillId="8" borderId="619" xfId="0" applyFont="1" applyFill="1" applyBorder="1" applyAlignment="1">
      <alignment horizontal="center" vertical="center"/>
    </xf>
    <xf numFmtId="0" fontId="15" fillId="8" borderId="621" xfId="0" applyFont="1" applyFill="1" applyBorder="1" applyAlignment="1">
      <alignment horizontal="center" vertical="center"/>
    </xf>
    <xf numFmtId="0" fontId="11" fillId="0" borderId="124" xfId="0" applyFont="1" applyBorder="1"/>
    <xf numFmtId="0" fontId="0" fillId="0" borderId="56" xfId="0" applyBorder="1"/>
    <xf numFmtId="0" fontId="16" fillId="8" borderId="6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87" xfId="0" applyFont="1" applyFill="1" applyBorder="1" applyAlignment="1">
      <alignment horizontal="center" vertical="center"/>
    </xf>
    <xf numFmtId="0" fontId="16" fillId="12" borderId="190" xfId="0" applyFont="1" applyFill="1" applyBorder="1" applyAlignment="1">
      <alignment horizontal="center" vertical="center"/>
    </xf>
    <xf numFmtId="0" fontId="16" fillId="12" borderId="191" xfId="0" applyFont="1" applyFill="1" applyBorder="1" applyAlignment="1">
      <alignment horizontal="center" vertical="center"/>
    </xf>
    <xf numFmtId="0" fontId="16" fillId="0" borderId="536" xfId="0" applyFont="1" applyFill="1" applyBorder="1" applyAlignment="1">
      <alignment horizontal="center" vertical="center"/>
    </xf>
    <xf numFmtId="0" fontId="15" fillId="11" borderId="622" xfId="0" applyFont="1" applyFill="1" applyBorder="1" applyAlignment="1">
      <alignment horizontal="center" vertical="center"/>
    </xf>
    <xf numFmtId="0" fontId="15" fillId="11" borderId="623" xfId="0" applyFont="1" applyFill="1" applyBorder="1" applyAlignment="1">
      <alignment horizontal="center" vertical="center"/>
    </xf>
    <xf numFmtId="0" fontId="15" fillId="11" borderId="624" xfId="0" applyFont="1" applyFill="1" applyBorder="1" applyAlignment="1">
      <alignment horizontal="center" vertical="center"/>
    </xf>
    <xf numFmtId="0" fontId="15" fillId="9" borderId="622" xfId="0" applyFont="1" applyFill="1" applyBorder="1" applyAlignment="1">
      <alignment horizontal="center" vertical="center"/>
    </xf>
    <xf numFmtId="0" fontId="15" fillId="9" borderId="623" xfId="0" applyFont="1" applyFill="1" applyBorder="1" applyAlignment="1">
      <alignment horizontal="center" vertical="center"/>
    </xf>
    <xf numFmtId="0" fontId="15" fillId="9" borderId="624" xfId="0" applyFont="1" applyFill="1" applyBorder="1" applyAlignment="1">
      <alignment horizontal="center" vertical="center"/>
    </xf>
    <xf numFmtId="0" fontId="75" fillId="17" borderId="0" xfId="0" applyFont="1" applyFill="1" applyBorder="1" applyAlignment="1">
      <alignment horizontal="left"/>
    </xf>
    <xf numFmtId="0" fontId="44" fillId="9" borderId="21" xfId="0" applyFont="1" applyFill="1" applyBorder="1" applyAlignment="1">
      <alignment horizontal="left"/>
    </xf>
    <xf numFmtId="0" fontId="44" fillId="9" borderId="55" xfId="0" applyFont="1" applyFill="1" applyBorder="1" applyAlignment="1">
      <alignment horizontal="left"/>
    </xf>
    <xf numFmtId="0" fontId="42" fillId="2" borderId="314" xfId="0" applyFont="1" applyFill="1" applyBorder="1" applyAlignment="1">
      <alignment horizontal="center" vertical="center" wrapText="1"/>
    </xf>
    <xf numFmtId="0" fontId="42" fillId="2" borderId="313" xfId="0" applyFont="1" applyFill="1" applyBorder="1" applyAlignment="1">
      <alignment horizontal="center" vertical="center" wrapText="1"/>
    </xf>
    <xf numFmtId="0" fontId="11" fillId="0" borderId="210" xfId="0" applyFont="1" applyFill="1" applyBorder="1" applyAlignment="1">
      <alignment horizontal="center" vertical="top"/>
    </xf>
    <xf numFmtId="0" fontId="44" fillId="0" borderId="324" xfId="0" applyFont="1" applyBorder="1" applyAlignment="1">
      <alignment horizontal="left"/>
    </xf>
    <xf numFmtId="0" fontId="44" fillId="0" borderId="325" xfId="0" applyFont="1" applyBorder="1" applyAlignment="1">
      <alignment horizontal="left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131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133" xfId="0" applyFont="1" applyFill="1" applyBorder="1" applyAlignment="1" applyProtection="1">
      <alignment horizontal="center" vertical="center" wrapText="1"/>
    </xf>
    <xf numFmtId="0" fontId="11" fillId="2" borderId="296" xfId="0" applyFont="1" applyFill="1" applyBorder="1" applyAlignment="1" applyProtection="1">
      <alignment horizontal="right" vertical="center"/>
    </xf>
    <xf numFmtId="0" fontId="11" fillId="2" borderId="259" xfId="0" applyFont="1" applyFill="1" applyBorder="1" applyAlignment="1" applyProtection="1">
      <alignment horizontal="right" vertical="center"/>
    </xf>
    <xf numFmtId="0" fontId="42" fillId="2" borderId="231" xfId="0" applyFont="1" applyFill="1" applyBorder="1" applyAlignment="1" applyProtection="1">
      <alignment horizontal="right" vertical="center"/>
    </xf>
    <xf numFmtId="0" fontId="42" fillId="2" borderId="216" xfId="0" applyFont="1" applyFill="1" applyBorder="1" applyAlignment="1" applyProtection="1">
      <alignment horizontal="right" vertical="center"/>
    </xf>
    <xf numFmtId="0" fontId="11" fillId="2" borderId="231" xfId="0" applyFont="1" applyFill="1" applyBorder="1" applyAlignment="1" applyProtection="1">
      <alignment horizontal="right" vertical="center"/>
    </xf>
    <xf numFmtId="0" fontId="11" fillId="2" borderId="216" xfId="0" applyFont="1" applyFill="1" applyBorder="1" applyAlignment="1" applyProtection="1">
      <alignment horizontal="right" vertical="center"/>
    </xf>
    <xf numFmtId="0" fontId="42" fillId="2" borderId="231" xfId="0" applyFont="1" applyFill="1" applyBorder="1" applyAlignment="1">
      <alignment horizontal="right" vertical="center"/>
    </xf>
    <xf numFmtId="0" fontId="42" fillId="2" borderId="216" xfId="0" applyFont="1" applyFill="1" applyBorder="1" applyAlignment="1">
      <alignment horizontal="right" vertical="center"/>
    </xf>
    <xf numFmtId="0" fontId="55" fillId="2" borderId="231" xfId="0" applyFont="1" applyFill="1" applyBorder="1" applyAlignment="1" applyProtection="1">
      <alignment horizontal="right" vertical="center"/>
    </xf>
    <xf numFmtId="0" fontId="55" fillId="2" borderId="216" xfId="0" applyFont="1" applyFill="1" applyBorder="1" applyAlignment="1" applyProtection="1">
      <alignment horizontal="right" vertical="center"/>
    </xf>
    <xf numFmtId="0" fontId="11" fillId="12" borderId="230" xfId="0" applyFont="1" applyFill="1" applyBorder="1" applyAlignment="1">
      <alignment horizontal="center" vertical="center"/>
    </xf>
    <xf numFmtId="0" fontId="11" fillId="12" borderId="247" xfId="0" applyFont="1" applyFill="1" applyBorder="1" applyAlignment="1">
      <alignment horizontal="center" vertical="center"/>
    </xf>
    <xf numFmtId="0" fontId="16" fillId="2" borderId="230" xfId="0" applyFont="1" applyFill="1" applyBorder="1" applyAlignment="1">
      <alignment horizontal="center"/>
    </xf>
    <xf numFmtId="0" fontId="16" fillId="2" borderId="231" xfId="0" applyFont="1" applyFill="1" applyBorder="1" applyAlignment="1">
      <alignment horizontal="center"/>
    </xf>
    <xf numFmtId="0" fontId="16" fillId="2" borderId="247" xfId="0" applyFont="1" applyFill="1" applyBorder="1" applyAlignment="1">
      <alignment horizontal="center"/>
    </xf>
    <xf numFmtId="0" fontId="11" fillId="0" borderId="230" xfId="0" applyFont="1" applyFill="1" applyBorder="1" applyAlignment="1">
      <alignment horizontal="center" vertical="center"/>
    </xf>
    <xf numFmtId="0" fontId="11" fillId="0" borderId="247" xfId="0" applyFont="1" applyFill="1" applyBorder="1" applyAlignment="1">
      <alignment horizontal="center" vertical="center"/>
    </xf>
    <xf numFmtId="0" fontId="80" fillId="9" borderId="0" xfId="0" applyFont="1" applyFill="1" applyBorder="1" applyAlignment="1">
      <alignment horizontal="right" textRotation="90"/>
    </xf>
    <xf numFmtId="0" fontId="9" fillId="9" borderId="21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right"/>
    </xf>
    <xf numFmtId="0" fontId="16" fillId="2" borderId="76" xfId="0" applyFont="1" applyFill="1" applyBorder="1" applyAlignment="1">
      <alignment horizontal="right"/>
    </xf>
    <xf numFmtId="0" fontId="16" fillId="2" borderId="94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2" borderId="93" xfId="0" applyFont="1" applyFill="1" applyBorder="1" applyAlignment="1">
      <alignment horizontal="right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14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</xf>
    <xf numFmtId="0" fontId="9" fillId="4" borderId="72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16" fillId="9" borderId="33" xfId="0" applyFont="1" applyFill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11" fillId="12" borderId="207" xfId="0" applyFont="1" applyFill="1" applyBorder="1" applyAlignment="1">
      <alignment horizontal="center" vertical="top"/>
    </xf>
    <xf numFmtId="0" fontId="11" fillId="12" borderId="223" xfId="0" applyFont="1" applyFill="1" applyBorder="1" applyAlignment="1">
      <alignment horizontal="center" vertical="top"/>
    </xf>
    <xf numFmtId="0" fontId="13" fillId="2" borderId="58" xfId="0" applyFont="1" applyFill="1" applyBorder="1" applyAlignment="1">
      <alignment horizontal="center"/>
    </xf>
    <xf numFmtId="0" fontId="11" fillId="0" borderId="145" xfId="0" applyFont="1" applyFill="1" applyBorder="1" applyAlignment="1">
      <alignment horizontal="center" vertical="top"/>
    </xf>
    <xf numFmtId="0" fontId="11" fillId="0" borderId="222" xfId="0" applyFont="1" applyFill="1" applyBorder="1" applyAlignment="1">
      <alignment horizontal="center" vertical="top"/>
    </xf>
    <xf numFmtId="0" fontId="11" fillId="12" borderId="216" xfId="0" applyFont="1" applyFill="1" applyBorder="1" applyAlignment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146" xfId="0" applyFont="1" applyFill="1" applyBorder="1" applyAlignment="1">
      <alignment horizontal="center" vertical="center"/>
    </xf>
    <xf numFmtId="0" fontId="11" fillId="0" borderId="387" xfId="0" applyFont="1" applyFill="1" applyBorder="1" applyAlignment="1">
      <alignment horizontal="center" vertical="center"/>
    </xf>
    <xf numFmtId="0" fontId="11" fillId="0" borderId="390" xfId="0" applyFont="1" applyFill="1" applyBorder="1" applyAlignment="1">
      <alignment horizontal="center" vertical="center"/>
    </xf>
    <xf numFmtId="0" fontId="81" fillId="0" borderId="111" xfId="0" applyFont="1" applyBorder="1" applyAlignment="1" applyProtection="1">
      <alignment horizontal="center" vertical="center" wrapText="1"/>
    </xf>
    <xf numFmtId="0" fontId="81" fillId="0" borderId="21" xfId="0" applyFont="1" applyBorder="1" applyAlignment="1" applyProtection="1">
      <alignment horizontal="center" vertical="center" wrapText="1"/>
    </xf>
    <xf numFmtId="0" fontId="81" fillId="0" borderId="38" xfId="0" applyFont="1" applyBorder="1" applyAlignment="1" applyProtection="1">
      <alignment horizontal="center" vertical="center" wrapText="1"/>
    </xf>
    <xf numFmtId="0" fontId="81" fillId="0" borderId="47" xfId="0" applyFont="1" applyBorder="1" applyAlignment="1" applyProtection="1">
      <alignment horizontal="center" vertical="center" wrapText="1"/>
    </xf>
    <xf numFmtId="0" fontId="81" fillId="0" borderId="101" xfId="0" applyFont="1" applyBorder="1" applyAlignment="1" applyProtection="1">
      <alignment horizontal="center" vertical="center" wrapText="1"/>
    </xf>
    <xf numFmtId="0" fontId="81" fillId="0" borderId="0" xfId="0" applyFont="1" applyBorder="1" applyAlignment="1" applyProtection="1">
      <alignment horizontal="center" vertical="center" wrapText="1"/>
    </xf>
    <xf numFmtId="0" fontId="81" fillId="0" borderId="132" xfId="0" applyFont="1" applyBorder="1" applyAlignment="1" applyProtection="1">
      <alignment horizontal="center" vertical="center" wrapText="1"/>
    </xf>
    <xf numFmtId="0" fontId="81" fillId="0" borderId="26" xfId="0" applyFont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136" xfId="0" applyFont="1" applyFill="1" applyBorder="1" applyAlignment="1" applyProtection="1">
      <alignment horizontal="center" vertical="center"/>
    </xf>
    <xf numFmtId="164" fontId="5" fillId="4" borderId="33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 vertical="center"/>
    </xf>
    <xf numFmtId="0" fontId="97" fillId="2" borderId="75" xfId="0" applyFont="1" applyFill="1" applyBorder="1" applyAlignment="1" applyProtection="1">
      <alignment horizontal="center"/>
    </xf>
    <xf numFmtId="0" fontId="97" fillId="2" borderId="76" xfId="0" applyFont="1" applyFill="1" applyBorder="1" applyAlignment="1" applyProtection="1">
      <alignment horizontal="center"/>
    </xf>
    <xf numFmtId="0" fontId="97" fillId="2" borderId="82" xfId="0" applyFont="1" applyFill="1" applyBorder="1" applyAlignment="1" applyProtection="1">
      <alignment horizontal="center"/>
    </xf>
    <xf numFmtId="0" fontId="101" fillId="9" borderId="20" xfId="0" applyFont="1" applyFill="1" applyBorder="1" applyAlignment="1">
      <alignment horizontal="center" vertical="center" wrapText="1"/>
    </xf>
    <xf numFmtId="0" fontId="101" fillId="9" borderId="21" xfId="0" applyFont="1" applyFill="1" applyBorder="1" applyAlignment="1">
      <alignment horizontal="center" vertical="center" wrapText="1"/>
    </xf>
    <xf numFmtId="0" fontId="101" fillId="9" borderId="55" xfId="0" applyFont="1" applyFill="1" applyBorder="1" applyAlignment="1">
      <alignment horizontal="center" vertical="center" wrapText="1"/>
    </xf>
    <xf numFmtId="0" fontId="101" fillId="9" borderId="22" xfId="0" applyFont="1" applyFill="1" applyBorder="1" applyAlignment="1">
      <alignment horizontal="center" vertical="center" wrapText="1"/>
    </xf>
    <xf numFmtId="0" fontId="101" fillId="9" borderId="0" xfId="0" applyFont="1" applyFill="1" applyBorder="1" applyAlignment="1">
      <alignment horizontal="center" vertical="center" wrapText="1"/>
    </xf>
    <xf numFmtId="0" fontId="101" fillId="9" borderId="23" xfId="0" applyFont="1" applyFill="1" applyBorder="1" applyAlignment="1">
      <alignment horizontal="center" vertical="center" wrapText="1"/>
    </xf>
    <xf numFmtId="0" fontId="101" fillId="9" borderId="25" xfId="0" applyFont="1" applyFill="1" applyBorder="1" applyAlignment="1">
      <alignment horizontal="center" vertical="center" wrapText="1"/>
    </xf>
    <xf numFmtId="0" fontId="101" fillId="9" borderId="26" xfId="0" applyFont="1" applyFill="1" applyBorder="1" applyAlignment="1">
      <alignment horizontal="center" vertical="center" wrapText="1"/>
    </xf>
    <xf numFmtId="0" fontId="101" fillId="9" borderId="27" xfId="0" applyFont="1" applyFill="1" applyBorder="1" applyAlignment="1">
      <alignment horizontal="center" vertical="center" wrapText="1"/>
    </xf>
    <xf numFmtId="0" fontId="46" fillId="17" borderId="0" xfId="0" applyFont="1" applyFill="1" applyBorder="1" applyAlignment="1">
      <alignment horizontal="center"/>
    </xf>
    <xf numFmtId="0" fontId="46" fillId="17" borderId="0" xfId="0" applyFont="1" applyFill="1" applyBorder="1" applyAlignment="1">
      <alignment horizontal="center" vertical="center" textRotation="90"/>
    </xf>
    <xf numFmtId="0" fontId="15" fillId="0" borderId="150" xfId="0" applyFont="1" applyFill="1" applyBorder="1" applyAlignment="1">
      <alignment horizontal="center" vertical="center"/>
    </xf>
    <xf numFmtId="0" fontId="15" fillId="12" borderId="166" xfId="0" applyFont="1" applyFill="1" applyBorder="1" applyAlignment="1">
      <alignment horizontal="center" vertical="center"/>
    </xf>
    <xf numFmtId="0" fontId="15" fillId="12" borderId="150" xfId="0" applyFont="1" applyFill="1" applyBorder="1" applyAlignment="1">
      <alignment horizontal="center" vertical="center"/>
    </xf>
    <xf numFmtId="0" fontId="16" fillId="2" borderId="384" xfId="0" applyFont="1" applyFill="1" applyBorder="1" applyAlignment="1">
      <alignment horizontal="center" vertical="center"/>
    </xf>
    <xf numFmtId="0" fontId="43" fillId="9" borderId="318" xfId="0" applyFont="1" applyFill="1" applyBorder="1" applyAlignment="1">
      <alignment horizontal="left" vertical="center"/>
    </xf>
    <xf numFmtId="0" fontId="43" fillId="9" borderId="266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5" fillId="10" borderId="150" xfId="0" applyFont="1" applyFill="1" applyBorder="1" applyAlignment="1">
      <alignment horizontal="center" vertical="center"/>
    </xf>
    <xf numFmtId="0" fontId="13" fillId="9" borderId="206" xfId="0" applyFont="1" applyFill="1" applyBorder="1" applyAlignment="1">
      <alignment horizontal="center" vertical="center"/>
    </xf>
    <xf numFmtId="0" fontId="13" fillId="9" borderId="207" xfId="0" applyFont="1" applyFill="1" applyBorder="1" applyAlignment="1">
      <alignment horizontal="center" vertical="center"/>
    </xf>
    <xf numFmtId="0" fontId="13" fillId="9" borderId="208" xfId="0" applyFont="1" applyFill="1" applyBorder="1" applyAlignment="1">
      <alignment horizontal="center" vertical="center"/>
    </xf>
    <xf numFmtId="0" fontId="82" fillId="9" borderId="246" xfId="0" applyFont="1" applyFill="1" applyBorder="1" applyAlignment="1">
      <alignment horizontal="center" vertical="center" wrapText="1"/>
    </xf>
    <xf numFmtId="0" fontId="82" fillId="9" borderId="177" xfId="0" applyFont="1" applyFill="1" applyBorder="1" applyAlignment="1">
      <alignment horizontal="center" vertical="center" wrapText="1"/>
    </xf>
    <xf numFmtId="0" fontId="82" fillId="9" borderId="17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left" vertical="center"/>
    </xf>
    <xf numFmtId="0" fontId="9" fillId="9" borderId="55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9" borderId="26" xfId="0" applyFont="1" applyFill="1" applyBorder="1" applyAlignment="1">
      <alignment horizontal="left" vertical="center"/>
    </xf>
    <xf numFmtId="0" fontId="9" fillId="9" borderId="27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</xf>
    <xf numFmtId="0" fontId="9" fillId="9" borderId="22" xfId="0" applyFont="1" applyFill="1" applyBorder="1" applyAlignment="1" applyProtection="1">
      <alignment horizontal="center" vertical="center"/>
    </xf>
    <xf numFmtId="0" fontId="11" fillId="12" borderId="145" xfId="0" applyFont="1" applyFill="1" applyBorder="1" applyAlignment="1">
      <alignment horizontal="center" vertical="top"/>
    </xf>
    <xf numFmtId="0" fontId="16" fillId="10" borderId="33" xfId="0" applyFont="1" applyFill="1" applyBorder="1" applyAlignment="1">
      <alignment horizontal="center" vertical="center"/>
    </xf>
    <xf numFmtId="0" fontId="13" fillId="0" borderId="222" xfId="0" applyFont="1" applyFill="1" applyBorder="1" applyAlignment="1">
      <alignment horizontal="center" vertical="center"/>
    </xf>
    <xf numFmtId="0" fontId="13" fillId="0" borderId="247" xfId="0" applyFont="1" applyFill="1" applyBorder="1" applyAlignment="1">
      <alignment horizontal="center" vertical="center"/>
    </xf>
    <xf numFmtId="0" fontId="50" fillId="0" borderId="222" xfId="0" applyFont="1" applyFill="1" applyBorder="1" applyAlignment="1" applyProtection="1">
      <alignment horizontal="center" vertical="center"/>
    </xf>
    <xf numFmtId="0" fontId="50" fillId="0" borderId="247" xfId="0" applyFont="1" applyFill="1" applyBorder="1" applyAlignment="1" applyProtection="1">
      <alignment horizontal="center" vertical="center"/>
    </xf>
    <xf numFmtId="0" fontId="42" fillId="2" borderId="230" xfId="0" applyFont="1" applyFill="1" applyBorder="1" applyAlignment="1">
      <alignment horizontal="right"/>
    </xf>
    <xf numFmtId="0" fontId="42" fillId="2" borderId="231" xfId="0" applyFont="1" applyFill="1" applyBorder="1" applyAlignment="1">
      <alignment horizontal="right"/>
    </xf>
    <xf numFmtId="0" fontId="42" fillId="2" borderId="216" xfId="0" applyFont="1" applyFill="1" applyBorder="1" applyAlignment="1">
      <alignment horizontal="right"/>
    </xf>
    <xf numFmtId="0" fontId="50" fillId="0" borderId="222" xfId="0" applyFont="1" applyFill="1" applyBorder="1" applyAlignment="1">
      <alignment horizontal="center" vertical="center"/>
    </xf>
    <xf numFmtId="0" fontId="50" fillId="0" borderId="247" xfId="0" applyFont="1" applyFill="1" applyBorder="1" applyAlignment="1">
      <alignment horizontal="center" vertical="center"/>
    </xf>
    <xf numFmtId="0" fontId="55" fillId="14" borderId="222" xfId="0" applyFont="1" applyFill="1" applyBorder="1" applyAlignment="1" applyProtection="1">
      <alignment horizontal="center" vertical="center"/>
    </xf>
    <xf numFmtId="0" fontId="55" fillId="14" borderId="247" xfId="0" applyFont="1" applyFill="1" applyBorder="1" applyAlignment="1" applyProtection="1">
      <alignment horizontal="center" vertical="center"/>
    </xf>
    <xf numFmtId="0" fontId="11" fillId="2" borderId="230" xfId="0" applyFont="1" applyFill="1" applyBorder="1" applyAlignment="1">
      <alignment horizontal="right"/>
    </xf>
    <xf numFmtId="0" fontId="11" fillId="2" borderId="231" xfId="0" applyFont="1" applyFill="1" applyBorder="1" applyAlignment="1">
      <alignment horizontal="right"/>
    </xf>
    <xf numFmtId="0" fontId="11" fillId="2" borderId="216" xfId="0" applyFont="1" applyFill="1" applyBorder="1" applyAlignment="1">
      <alignment horizontal="right"/>
    </xf>
    <xf numFmtId="0" fontId="13" fillId="0" borderId="222" xfId="0" applyFont="1" applyFill="1" applyBorder="1" applyAlignment="1" applyProtection="1">
      <alignment horizontal="center" vertical="center"/>
    </xf>
    <xf numFmtId="0" fontId="13" fillId="0" borderId="247" xfId="0" applyFont="1" applyFill="1" applyBorder="1" applyAlignment="1" applyProtection="1">
      <alignment horizontal="center" vertical="center"/>
    </xf>
    <xf numFmtId="0" fontId="13" fillId="0" borderId="145" xfId="0" applyFont="1" applyFill="1" applyBorder="1" applyAlignment="1" applyProtection="1">
      <alignment horizontal="center" vertical="center"/>
    </xf>
    <xf numFmtId="0" fontId="13" fillId="0" borderId="146" xfId="0" applyFont="1" applyFill="1" applyBorder="1" applyAlignment="1" applyProtection="1">
      <alignment horizontal="center" vertical="center"/>
    </xf>
    <xf numFmtId="0" fontId="13" fillId="0" borderId="230" xfId="0" applyFont="1" applyFill="1" applyBorder="1" applyAlignment="1">
      <alignment horizontal="center" vertical="center"/>
    </xf>
    <xf numFmtId="0" fontId="13" fillId="12" borderId="230" xfId="0" applyFont="1" applyFill="1" applyBorder="1" applyAlignment="1">
      <alignment horizontal="center" vertical="center"/>
    </xf>
    <xf numFmtId="0" fontId="13" fillId="12" borderId="247" xfId="0" applyFont="1" applyFill="1" applyBorder="1" applyAlignment="1">
      <alignment horizontal="center" vertical="center"/>
    </xf>
    <xf numFmtId="0" fontId="16" fillId="2" borderId="387" xfId="0" applyFont="1" applyFill="1" applyBorder="1" applyAlignment="1">
      <alignment horizontal="center"/>
    </xf>
    <xf numFmtId="0" fontId="16" fillId="2" borderId="388" xfId="0" applyFont="1" applyFill="1" applyBorder="1" applyAlignment="1">
      <alignment horizontal="center"/>
    </xf>
    <xf numFmtId="0" fontId="16" fillId="2" borderId="389" xfId="0" applyFont="1" applyFill="1" applyBorder="1" applyAlignment="1">
      <alignment horizontal="center"/>
    </xf>
    <xf numFmtId="0" fontId="11" fillId="0" borderId="20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/>
    </xf>
    <xf numFmtId="0" fontId="16" fillId="2" borderId="263" xfId="0" applyFont="1" applyFill="1" applyBorder="1" applyAlignment="1">
      <alignment horizontal="center"/>
    </xf>
    <xf numFmtId="0" fontId="16" fillId="2" borderId="264" xfId="0" applyFont="1" applyFill="1" applyBorder="1" applyAlignment="1">
      <alignment horizontal="center"/>
    </xf>
    <xf numFmtId="0" fontId="11" fillId="0" borderId="391" xfId="0" applyFont="1" applyFill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0" borderId="300" xfId="0" applyFont="1" applyFill="1" applyBorder="1" applyAlignment="1">
      <alignment horizontal="center" vertical="top"/>
    </xf>
    <xf numFmtId="0" fontId="0" fillId="0" borderId="318" xfId="0" applyBorder="1" applyAlignment="1">
      <alignment horizontal="center"/>
    </xf>
    <xf numFmtId="0" fontId="0" fillId="0" borderId="266" xfId="0" applyBorder="1" applyAlignment="1">
      <alignment horizontal="center"/>
    </xf>
    <xf numFmtId="0" fontId="0" fillId="0" borderId="2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5" xfId="0" applyBorder="1" applyAlignment="1">
      <alignment horizontal="center"/>
    </xf>
    <xf numFmtId="0" fontId="0" fillId="0" borderId="320" xfId="0" applyBorder="1" applyAlignment="1">
      <alignment horizontal="center"/>
    </xf>
    <xf numFmtId="0" fontId="0" fillId="0" borderId="321" xfId="0" applyBorder="1" applyAlignment="1">
      <alignment horizontal="center"/>
    </xf>
    <xf numFmtId="0" fontId="0" fillId="0" borderId="322" xfId="0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1" fillId="2" borderId="230" xfId="0" applyFont="1" applyFill="1" applyBorder="1" applyAlignment="1" applyProtection="1">
      <alignment horizontal="right" vertical="center"/>
    </xf>
    <xf numFmtId="0" fontId="13" fillId="9" borderId="222" xfId="0" applyFont="1" applyFill="1" applyBorder="1" applyAlignment="1">
      <alignment horizontal="center" vertical="center"/>
    </xf>
    <xf numFmtId="0" fontId="13" fillId="9" borderId="247" xfId="0" applyFont="1" applyFill="1" applyBorder="1" applyAlignment="1">
      <alignment horizontal="center" vertical="center"/>
    </xf>
    <xf numFmtId="0" fontId="43" fillId="9" borderId="33" xfId="0" applyFont="1" applyFill="1" applyBorder="1" applyAlignment="1">
      <alignment horizontal="left" vertical="center"/>
    </xf>
    <xf numFmtId="0" fontId="43" fillId="9" borderId="1" xfId="0" applyFont="1" applyFill="1" applyBorder="1" applyAlignment="1">
      <alignment horizontal="left" vertical="center"/>
    </xf>
    <xf numFmtId="0" fontId="43" fillId="9" borderId="24" xfId="0" applyFont="1" applyFill="1" applyBorder="1" applyAlignment="1">
      <alignment horizontal="left" vertical="center"/>
    </xf>
    <xf numFmtId="0" fontId="16" fillId="2" borderId="399" xfId="0" applyFont="1" applyFill="1" applyBorder="1" applyAlignment="1">
      <alignment horizontal="center" vertical="center"/>
    </xf>
    <xf numFmtId="0" fontId="16" fillId="2" borderId="398" xfId="0" applyFont="1" applyFill="1" applyBorder="1" applyAlignment="1">
      <alignment horizontal="center" vertical="center"/>
    </xf>
    <xf numFmtId="0" fontId="55" fillId="14" borderId="145" xfId="0" applyFont="1" applyFill="1" applyBorder="1" applyAlignment="1" applyProtection="1">
      <alignment horizontal="center" vertical="center"/>
    </xf>
    <xf numFmtId="0" fontId="55" fillId="14" borderId="146" xfId="0" applyFont="1" applyFill="1" applyBorder="1" applyAlignment="1" applyProtection="1">
      <alignment horizontal="center" vertic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0" fontId="13" fillId="0" borderId="259" xfId="0" applyFont="1" applyFill="1" applyBorder="1" applyAlignment="1" applyProtection="1">
      <alignment horizontal="center" vertical="center"/>
    </xf>
    <xf numFmtId="0" fontId="13" fillId="0" borderId="256" xfId="0" applyFont="1" applyFill="1" applyBorder="1" applyAlignment="1" applyProtection="1">
      <alignment horizontal="center" vertical="center"/>
    </xf>
    <xf numFmtId="166" fontId="9" fillId="4" borderId="21" xfId="0" applyNumberFormat="1" applyFont="1" applyFill="1" applyBorder="1" applyAlignment="1" applyProtection="1">
      <alignment horizontal="center" vertical="center" wrapText="1"/>
    </xf>
    <xf numFmtId="166" fontId="9" fillId="4" borderId="55" xfId="0" applyNumberFormat="1" applyFont="1" applyFill="1" applyBorder="1" applyAlignment="1" applyProtection="1">
      <alignment horizontal="center" vertical="center" wrapText="1"/>
    </xf>
    <xf numFmtId="166" fontId="9" fillId="4" borderId="47" xfId="0" applyNumberFormat="1" applyFont="1" applyFill="1" applyBorder="1" applyAlignment="1" applyProtection="1">
      <alignment horizontal="center" vertical="center" wrapText="1"/>
    </xf>
    <xf numFmtId="166" fontId="9" fillId="4" borderId="115" xfId="0" applyNumberFormat="1" applyFont="1" applyFill="1" applyBorder="1" applyAlignment="1" applyProtection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20" fillId="8" borderId="232" xfId="0" applyFont="1" applyFill="1" applyBorder="1" applyAlignment="1" applyProtection="1">
      <alignment horizontal="center" vertical="center"/>
    </xf>
    <xf numFmtId="0" fontId="20" fillId="8" borderId="233" xfId="0" applyFont="1" applyFill="1" applyBorder="1" applyAlignment="1" applyProtection="1">
      <alignment horizontal="center" vertical="center"/>
    </xf>
    <xf numFmtId="0" fontId="20" fillId="8" borderId="265" xfId="0" applyFont="1" applyFill="1" applyBorder="1" applyAlignment="1" applyProtection="1">
      <alignment horizontal="center" vertical="center"/>
    </xf>
    <xf numFmtId="0" fontId="11" fillId="0" borderId="232" xfId="0" applyFont="1" applyFill="1" applyBorder="1" applyAlignment="1">
      <alignment horizontal="center" vertical="center"/>
    </xf>
    <xf numFmtId="0" fontId="11" fillId="0" borderId="265" xfId="0" applyFont="1" applyFill="1" applyBorder="1" applyAlignment="1">
      <alignment horizontal="center" vertical="center"/>
    </xf>
    <xf numFmtId="0" fontId="11" fillId="12" borderId="210" xfId="0" applyFont="1" applyFill="1" applyBorder="1" applyAlignment="1">
      <alignment horizontal="center" vertical="center"/>
    </xf>
    <xf numFmtId="0" fontId="11" fillId="12" borderId="211" xfId="0" applyFont="1" applyFill="1" applyBorder="1" applyAlignment="1">
      <alignment horizontal="center" vertical="center"/>
    </xf>
    <xf numFmtId="0" fontId="15" fillId="10" borderId="152" xfId="0" applyFont="1" applyFill="1" applyBorder="1" applyAlignment="1">
      <alignment horizontal="center" vertical="center"/>
    </xf>
    <xf numFmtId="0" fontId="0" fillId="8" borderId="209" xfId="0" applyFill="1" applyBorder="1" applyAlignment="1">
      <alignment horizontal="center"/>
    </xf>
    <xf numFmtId="0" fontId="0" fillId="8" borderId="145" xfId="0" applyFill="1" applyBorder="1" applyAlignment="1">
      <alignment horizontal="center"/>
    </xf>
    <xf numFmtId="0" fontId="0" fillId="8" borderId="212" xfId="0" applyFill="1" applyBorder="1" applyAlignment="1">
      <alignment horizontal="center"/>
    </xf>
    <xf numFmtId="0" fontId="0" fillId="8" borderId="210" xfId="0" applyFill="1" applyBorder="1" applyAlignment="1">
      <alignment horizontal="center"/>
    </xf>
    <xf numFmtId="0" fontId="42" fillId="2" borderId="309" xfId="0" applyFont="1" applyFill="1" applyBorder="1" applyAlignment="1">
      <alignment horizontal="center" wrapText="1"/>
    </xf>
    <xf numFmtId="0" fontId="42" fillId="2" borderId="307" xfId="0" applyFont="1" applyFill="1" applyBorder="1" applyAlignment="1">
      <alignment horizontal="center" wrapText="1"/>
    </xf>
    <xf numFmtId="0" fontId="11" fillId="0" borderId="262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44" fillId="9" borderId="20" xfId="0" applyFont="1" applyFill="1" applyBorder="1" applyAlignment="1">
      <alignment horizontal="left"/>
    </xf>
    <xf numFmtId="0" fontId="44" fillId="9" borderId="22" xfId="0" applyFont="1" applyFill="1" applyBorder="1" applyAlignment="1">
      <alignment horizontal="left"/>
    </xf>
    <xf numFmtId="0" fontId="44" fillId="9" borderId="0" xfId="0" applyFont="1" applyFill="1" applyBorder="1" applyAlignment="1">
      <alignment horizontal="left"/>
    </xf>
    <xf numFmtId="0" fontId="44" fillId="9" borderId="23" xfId="0" applyFont="1" applyFill="1" applyBorder="1" applyAlignment="1">
      <alignment horizontal="left"/>
    </xf>
    <xf numFmtId="0" fontId="15" fillId="0" borderId="111" xfId="0" applyFont="1" applyFill="1" applyBorder="1" applyAlignment="1" applyProtection="1">
      <alignment horizontal="center" vertical="center"/>
    </xf>
    <xf numFmtId="0" fontId="15" fillId="0" borderId="137" xfId="0" applyFont="1" applyFill="1" applyBorder="1" applyAlignment="1" applyProtection="1">
      <alignment horizontal="center" vertical="center"/>
    </xf>
    <xf numFmtId="0" fontId="16" fillId="2" borderId="385" xfId="0" applyFont="1" applyFill="1" applyBorder="1" applyAlignment="1">
      <alignment horizontal="center" vertical="center"/>
    </xf>
    <xf numFmtId="0" fontId="16" fillId="2" borderId="324" xfId="0" applyFont="1" applyFill="1" applyBorder="1" applyAlignment="1">
      <alignment horizontal="center" vertical="center"/>
    </xf>
    <xf numFmtId="0" fontId="16" fillId="2" borderId="386" xfId="0" applyFont="1" applyFill="1" applyBorder="1" applyAlignment="1">
      <alignment horizontal="center" vertical="center"/>
    </xf>
    <xf numFmtId="0" fontId="44" fillId="9" borderId="21" xfId="0" applyFont="1" applyFill="1" applyBorder="1" applyAlignment="1" applyProtection="1">
      <alignment horizontal="left"/>
    </xf>
    <xf numFmtId="0" fontId="44" fillId="9" borderId="55" xfId="0" applyFont="1" applyFill="1" applyBorder="1" applyAlignment="1" applyProtection="1">
      <alignment horizontal="left"/>
    </xf>
    <xf numFmtId="0" fontId="44" fillId="9" borderId="0" xfId="0" applyFont="1" applyFill="1" applyBorder="1" applyAlignment="1" applyProtection="1">
      <alignment horizontal="left"/>
    </xf>
    <xf numFmtId="0" fontId="44" fillId="9" borderId="23" xfId="0" applyFont="1" applyFill="1" applyBorder="1" applyAlignment="1" applyProtection="1">
      <alignment horizontal="left"/>
    </xf>
    <xf numFmtId="0" fontId="13" fillId="2" borderId="565" xfId="0" applyFont="1" applyFill="1" applyBorder="1" applyAlignment="1" applyProtection="1">
      <alignment horizontal="right" vertical="center"/>
    </xf>
    <xf numFmtId="0" fontId="13" fillId="2" borderId="392" xfId="0" applyFont="1" applyFill="1" applyBorder="1" applyAlignment="1" applyProtection="1">
      <alignment horizontal="right" vertical="center"/>
    </xf>
    <xf numFmtId="0" fontId="13" fillId="0" borderId="393" xfId="0" applyFont="1" applyFill="1" applyBorder="1" applyAlignment="1" applyProtection="1">
      <alignment horizontal="center" vertical="center"/>
    </xf>
    <xf numFmtId="0" fontId="13" fillId="0" borderId="394" xfId="0" applyFont="1" applyFill="1" applyBorder="1" applyAlignment="1" applyProtection="1">
      <alignment horizontal="center" vertical="center"/>
    </xf>
    <xf numFmtId="0" fontId="89" fillId="2" borderId="395" xfId="0" applyFont="1" applyFill="1" applyBorder="1" applyAlignment="1">
      <alignment horizontal="right"/>
    </xf>
    <xf numFmtId="0" fontId="89" fillId="2" borderId="396" xfId="0" applyFont="1" applyFill="1" applyBorder="1" applyAlignment="1">
      <alignment horizontal="right"/>
    </xf>
    <xf numFmtId="0" fontId="89" fillId="14" borderId="396" xfId="0" applyFont="1" applyFill="1" applyBorder="1" applyAlignment="1" applyProtection="1">
      <alignment horizontal="center" vertical="center"/>
    </xf>
    <xf numFmtId="0" fontId="89" fillId="14" borderId="397" xfId="0" applyFont="1" applyFill="1" applyBorder="1" applyAlignment="1" applyProtection="1">
      <alignment horizontal="center" vertical="center"/>
    </xf>
    <xf numFmtId="0" fontId="11" fillId="2" borderId="260" xfId="0" applyFont="1" applyFill="1" applyBorder="1" applyAlignment="1">
      <alignment horizontal="right"/>
    </xf>
    <xf numFmtId="0" fontId="11" fillId="2" borderId="259" xfId="0" applyFont="1" applyFill="1" applyBorder="1" applyAlignment="1">
      <alignment horizontal="right"/>
    </xf>
    <xf numFmtId="0" fontId="13" fillId="2" borderId="209" xfId="0" applyFont="1" applyFill="1" applyBorder="1" applyAlignment="1">
      <alignment horizontal="right"/>
    </xf>
    <xf numFmtId="0" fontId="13" fillId="2" borderId="145" xfId="0" applyFont="1" applyFill="1" applyBorder="1" applyAlignment="1">
      <alignment horizontal="right"/>
    </xf>
    <xf numFmtId="0" fontId="11" fillId="8" borderId="209" xfId="0" applyFont="1" applyFill="1" applyBorder="1" applyAlignment="1">
      <alignment horizontal="right" vertical="center"/>
    </xf>
    <xf numFmtId="0" fontId="11" fillId="8" borderId="145" xfId="0" applyFont="1" applyFill="1" applyBorder="1" applyAlignment="1">
      <alignment horizontal="right" vertical="center"/>
    </xf>
    <xf numFmtId="0" fontId="13" fillId="2" borderId="230" xfId="0" applyFont="1" applyFill="1" applyBorder="1" applyAlignment="1" applyProtection="1">
      <alignment horizontal="right" vertical="center"/>
    </xf>
    <xf numFmtId="0" fontId="13" fillId="2" borderId="231" xfId="0" applyFont="1" applyFill="1" applyBorder="1" applyAlignment="1" applyProtection="1">
      <alignment horizontal="right" vertical="center"/>
    </xf>
    <xf numFmtId="0" fontId="13" fillId="2" borderId="216" xfId="0" applyFont="1" applyFill="1" applyBorder="1" applyAlignment="1" applyProtection="1">
      <alignment horizontal="right" vertical="center"/>
    </xf>
    <xf numFmtId="0" fontId="42" fillId="2" borderId="145" xfId="0" applyFont="1" applyFill="1" applyBorder="1" applyAlignment="1" applyProtection="1">
      <alignment horizontal="right" vertical="center"/>
    </xf>
    <xf numFmtId="0" fontId="11" fillId="8" borderId="216" xfId="0" applyFont="1" applyFill="1" applyBorder="1" applyAlignment="1">
      <alignment horizontal="right" vertical="center"/>
    </xf>
    <xf numFmtId="0" fontId="0" fillId="8" borderId="216" xfId="0" applyFill="1" applyBorder="1" applyAlignment="1">
      <alignment horizontal="center"/>
    </xf>
    <xf numFmtId="0" fontId="15" fillId="2" borderId="309" xfId="0" applyFont="1" applyFill="1" applyBorder="1" applyAlignment="1">
      <alignment horizontal="center"/>
    </xf>
    <xf numFmtId="0" fontId="15" fillId="2" borderId="307" xfId="0" applyFont="1" applyFill="1" applyBorder="1" applyAlignment="1">
      <alignment horizontal="center"/>
    </xf>
    <xf numFmtId="0" fontId="55" fillId="8" borderId="216" xfId="0" applyFont="1" applyFill="1" applyBorder="1" applyAlignment="1">
      <alignment horizontal="center"/>
    </xf>
    <xf numFmtId="0" fontId="55" fillId="8" borderId="145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44" fillId="9" borderId="124" xfId="0" applyFont="1" applyFill="1" applyBorder="1" applyAlignment="1" applyProtection="1">
      <alignment horizontal="center" wrapText="1"/>
    </xf>
    <xf numFmtId="0" fontId="44" fillId="9" borderId="120" xfId="0" applyFont="1" applyFill="1" applyBorder="1" applyAlignment="1" applyProtection="1">
      <alignment horizontal="center" wrapText="1"/>
    </xf>
    <xf numFmtId="0" fontId="44" fillId="9" borderId="56" xfId="0" applyFont="1" applyFill="1" applyBorder="1" applyAlignment="1" applyProtection="1">
      <alignment horizontal="center" wrapText="1"/>
    </xf>
    <xf numFmtId="0" fontId="0" fillId="0" borderId="210" xfId="0" applyBorder="1" applyAlignment="1">
      <alignment horizontal="center"/>
    </xf>
    <xf numFmtId="0" fontId="0" fillId="0" borderId="211" xfId="0" applyBorder="1" applyAlignment="1">
      <alignment horizontal="center"/>
    </xf>
    <xf numFmtId="0" fontId="0" fillId="8" borderId="217" xfId="0" applyFill="1" applyBorder="1" applyAlignment="1">
      <alignment horizontal="center"/>
    </xf>
    <xf numFmtId="0" fontId="12" fillId="0" borderId="20" xfId="0" quotePrefix="1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1" fillId="2" borderId="121" xfId="0" applyFont="1" applyFill="1" applyBorder="1" applyAlignment="1">
      <alignment horizontal="center" vertical="center"/>
    </xf>
    <xf numFmtId="0" fontId="41" fillId="2" borderId="134" xfId="0" applyFont="1" applyFill="1" applyBorder="1" applyAlignment="1">
      <alignment horizontal="center" vertical="center"/>
    </xf>
    <xf numFmtId="0" fontId="50" fillId="12" borderId="25" xfId="0" applyFont="1" applyFill="1" applyBorder="1" applyAlignment="1">
      <alignment horizontal="center" vertical="center"/>
    </xf>
    <xf numFmtId="0" fontId="50" fillId="12" borderId="26" xfId="0" applyFont="1" applyFill="1" applyBorder="1" applyAlignment="1">
      <alignment horizontal="center" vertical="center"/>
    </xf>
    <xf numFmtId="0" fontId="50" fillId="12" borderId="27" xfId="0" applyFont="1" applyFill="1" applyBorder="1" applyAlignment="1">
      <alignment horizontal="center" vertical="center"/>
    </xf>
    <xf numFmtId="0" fontId="11" fillId="12" borderId="222" xfId="0" applyFont="1" applyFill="1" applyBorder="1" applyAlignment="1">
      <alignment horizontal="center" vertical="top"/>
    </xf>
    <xf numFmtId="0" fontId="15" fillId="19" borderId="449" xfId="0" applyFont="1" applyFill="1" applyBorder="1" applyAlignment="1">
      <alignment horizontal="center" vertical="center"/>
    </xf>
    <xf numFmtId="0" fontId="15" fillId="19" borderId="316" xfId="0" applyFont="1" applyFill="1" applyBorder="1" applyAlignment="1">
      <alignment horizontal="center" vertical="center"/>
    </xf>
    <xf numFmtId="0" fontId="15" fillId="19" borderId="317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9" borderId="425" xfId="0" applyFont="1" applyFill="1" applyBorder="1" applyAlignment="1" applyProtection="1">
      <alignment horizontal="center" vertical="center"/>
    </xf>
    <xf numFmtId="0" fontId="16" fillId="9" borderId="149" xfId="0" applyFont="1" applyFill="1" applyBorder="1" applyAlignment="1" applyProtection="1">
      <alignment horizontal="center" vertical="center"/>
    </xf>
    <xf numFmtId="0" fontId="16" fillId="9" borderId="450" xfId="0" applyFont="1" applyFill="1" applyBorder="1" applyAlignment="1" applyProtection="1">
      <alignment horizontal="center" vertical="center"/>
    </xf>
    <xf numFmtId="0" fontId="16" fillId="9" borderId="163" xfId="0" applyFont="1" applyFill="1" applyBorder="1" applyAlignment="1" applyProtection="1">
      <alignment horizontal="center" vertical="center"/>
    </xf>
    <xf numFmtId="0" fontId="16" fillId="9" borderId="150" xfId="0" applyFont="1" applyFill="1" applyBorder="1" applyAlignment="1" applyProtection="1">
      <alignment horizontal="center" vertical="center"/>
    </xf>
    <xf numFmtId="0" fontId="16" fillId="9" borderId="152" xfId="0" applyFont="1" applyFill="1" applyBorder="1" applyAlignment="1" applyProtection="1">
      <alignment horizontal="center" vertical="center"/>
    </xf>
    <xf numFmtId="0" fontId="16" fillId="9" borderId="164" xfId="0" applyFont="1" applyFill="1" applyBorder="1" applyAlignment="1" applyProtection="1">
      <alignment horizontal="center" vertical="center"/>
    </xf>
    <xf numFmtId="0" fontId="16" fillId="9" borderId="151" xfId="0" applyFont="1" applyFill="1" applyBorder="1" applyAlignment="1" applyProtection="1">
      <alignment horizontal="center" vertical="center"/>
    </xf>
    <xf numFmtId="0" fontId="16" fillId="9" borderId="158" xfId="0" applyFont="1" applyFill="1" applyBorder="1" applyAlignment="1" applyProtection="1">
      <alignment horizontal="center" vertical="center"/>
    </xf>
    <xf numFmtId="0" fontId="16" fillId="2" borderId="88" xfId="0" applyFont="1" applyFill="1" applyBorder="1" applyAlignment="1" applyProtection="1">
      <alignment horizontal="center" vertical="center"/>
    </xf>
    <xf numFmtId="0" fontId="16" fillId="2" borderId="557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9" borderId="409" xfId="0" applyFont="1" applyFill="1" applyBorder="1" applyAlignment="1">
      <alignment horizontal="center" vertical="center"/>
    </xf>
    <xf numFmtId="0" fontId="16" fillId="9" borderId="284" xfId="0" applyFont="1" applyFill="1" applyBorder="1" applyAlignment="1">
      <alignment horizontal="center" vertical="center"/>
    </xf>
    <xf numFmtId="0" fontId="16" fillId="9" borderId="558" xfId="0" applyFont="1" applyFill="1" applyBorder="1" applyAlignment="1">
      <alignment horizontal="center" vertical="center"/>
    </xf>
    <xf numFmtId="0" fontId="16" fillId="9" borderId="163" xfId="0" applyFont="1" applyFill="1" applyBorder="1" applyAlignment="1">
      <alignment horizontal="center" vertical="center"/>
    </xf>
    <xf numFmtId="0" fontId="16" fillId="9" borderId="150" xfId="0" applyFont="1" applyFill="1" applyBorder="1" applyAlignment="1">
      <alignment horizontal="center" vertical="center"/>
    </xf>
    <xf numFmtId="0" fontId="16" fillId="9" borderId="152" xfId="0" applyFont="1" applyFill="1" applyBorder="1" applyAlignment="1">
      <alignment horizontal="center" vertical="center"/>
    </xf>
    <xf numFmtId="0" fontId="16" fillId="9" borderId="428" xfId="0" applyFont="1" applyFill="1" applyBorder="1" applyAlignment="1">
      <alignment horizontal="center" vertical="center"/>
    </xf>
    <xf numFmtId="0" fontId="16" fillId="9" borderId="173" xfId="0" applyFont="1" applyFill="1" applyBorder="1" applyAlignment="1">
      <alignment horizontal="center" vertical="center"/>
    </xf>
    <xf numFmtId="0" fontId="16" fillId="9" borderId="174" xfId="0" applyFont="1" applyFill="1" applyBorder="1" applyAlignment="1">
      <alignment horizontal="center" vertical="center"/>
    </xf>
    <xf numFmtId="0" fontId="16" fillId="9" borderId="429" xfId="0" applyFont="1" applyFill="1" applyBorder="1" applyAlignment="1">
      <alignment horizontal="center" vertical="center"/>
    </xf>
    <xf numFmtId="0" fontId="16" fillId="9" borderId="287" xfId="0" applyFont="1" applyFill="1" applyBorder="1" applyAlignment="1">
      <alignment horizontal="center" vertical="center"/>
    </xf>
    <xf numFmtId="0" fontId="16" fillId="9" borderId="453" xfId="0" applyFont="1" applyFill="1" applyBorder="1" applyAlignment="1">
      <alignment horizontal="center" vertical="center"/>
    </xf>
    <xf numFmtId="0" fontId="15" fillId="9" borderId="430" xfId="0" applyFont="1" applyFill="1" applyBorder="1" applyAlignment="1">
      <alignment horizontal="center" vertical="center"/>
    </xf>
    <xf numFmtId="0" fontId="15" fillId="9" borderId="316" xfId="0" applyFont="1" applyFill="1" applyBorder="1" applyAlignment="1">
      <alignment horizontal="center" vertical="center"/>
    </xf>
    <xf numFmtId="0" fontId="15" fillId="9" borderId="317" xfId="0" applyFont="1" applyFill="1" applyBorder="1" applyAlignment="1">
      <alignment horizontal="center" vertical="center"/>
    </xf>
    <xf numFmtId="0" fontId="16" fillId="9" borderId="426" xfId="0" applyFont="1" applyFill="1" applyBorder="1" applyAlignment="1">
      <alignment horizontal="center" vertical="center"/>
    </xf>
    <xf numFmtId="0" fontId="16" fillId="9" borderId="181" xfId="0" applyFont="1" applyFill="1" applyBorder="1" applyAlignment="1">
      <alignment horizontal="center" vertical="center"/>
    </xf>
    <xf numFmtId="0" fontId="16" fillId="9" borderId="451" xfId="0" applyFont="1" applyFill="1" applyBorder="1" applyAlignment="1">
      <alignment horizontal="center" vertical="center"/>
    </xf>
    <xf numFmtId="0" fontId="15" fillId="9" borderId="425" xfId="0" applyFont="1" applyFill="1" applyBorder="1" applyAlignment="1">
      <alignment horizontal="center" vertical="center"/>
    </xf>
    <xf numFmtId="0" fontId="15" fillId="9" borderId="149" xfId="0" applyFont="1" applyFill="1" applyBorder="1" applyAlignment="1">
      <alignment horizontal="center" vertical="center"/>
    </xf>
    <xf numFmtId="0" fontId="15" fillId="9" borderId="450" xfId="0" applyFont="1" applyFill="1" applyBorder="1" applyAlignment="1">
      <alignment horizontal="center" vertical="center"/>
    </xf>
    <xf numFmtId="0" fontId="15" fillId="9" borderId="163" xfId="0" applyFont="1" applyFill="1" applyBorder="1" applyAlignment="1">
      <alignment horizontal="center" vertical="center"/>
    </xf>
    <xf numFmtId="0" fontId="15" fillId="9" borderId="150" xfId="0" applyFont="1" applyFill="1" applyBorder="1" applyAlignment="1">
      <alignment horizontal="center" vertical="center"/>
    </xf>
    <xf numFmtId="0" fontId="15" fillId="9" borderId="152" xfId="0" applyFont="1" applyFill="1" applyBorder="1" applyAlignment="1">
      <alignment horizontal="center" vertical="center"/>
    </xf>
    <xf numFmtId="0" fontId="15" fillId="9" borderId="426" xfId="0" applyFont="1" applyFill="1" applyBorder="1" applyAlignment="1">
      <alignment horizontal="center" vertical="center"/>
    </xf>
    <xf numFmtId="0" fontId="15" fillId="9" borderId="181" xfId="0" applyFont="1" applyFill="1" applyBorder="1" applyAlignment="1">
      <alignment horizontal="center" vertical="center"/>
    </xf>
    <xf numFmtId="0" fontId="15" fillId="9" borderId="451" xfId="0" applyFont="1" applyFill="1" applyBorder="1" applyAlignment="1">
      <alignment horizontal="center" vertical="center"/>
    </xf>
    <xf numFmtId="0" fontId="16" fillId="9" borderId="427" xfId="0" applyFont="1" applyFill="1" applyBorder="1" applyAlignment="1">
      <alignment horizontal="center" vertical="center"/>
    </xf>
    <xf numFmtId="0" fontId="16" fillId="9" borderId="402" xfId="0" applyFont="1" applyFill="1" applyBorder="1" applyAlignment="1">
      <alignment horizontal="center" vertical="center"/>
    </xf>
    <xf numFmtId="0" fontId="16" fillId="9" borderId="452" xfId="0" applyFont="1" applyFill="1" applyBorder="1" applyAlignment="1">
      <alignment horizontal="center" vertical="center"/>
    </xf>
    <xf numFmtId="0" fontId="90" fillId="9" borderId="428" xfId="0" applyFont="1" applyFill="1" applyBorder="1" applyAlignment="1">
      <alignment horizontal="center" vertical="center"/>
    </xf>
    <xf numFmtId="0" fontId="90" fillId="9" borderId="173" xfId="0" applyFont="1" applyFill="1" applyBorder="1" applyAlignment="1">
      <alignment horizontal="center" vertical="center"/>
    </xf>
    <xf numFmtId="0" fontId="90" fillId="9" borderId="174" xfId="0" applyFont="1" applyFill="1" applyBorder="1" applyAlignment="1">
      <alignment horizontal="center" vertical="center"/>
    </xf>
    <xf numFmtId="0" fontId="16" fillId="9" borderId="447" xfId="0" applyFont="1" applyFill="1" applyBorder="1" applyAlignment="1">
      <alignment horizontal="center" vertical="center"/>
    </xf>
    <xf numFmtId="0" fontId="16" fillId="9" borderId="448" xfId="0" applyFont="1" applyFill="1" applyBorder="1" applyAlignment="1">
      <alignment horizontal="center" vertical="center"/>
    </xf>
    <xf numFmtId="0" fontId="15" fillId="9" borderId="449" xfId="0" applyFont="1" applyFill="1" applyBorder="1" applyAlignment="1">
      <alignment horizontal="center" vertical="center"/>
    </xf>
    <xf numFmtId="0" fontId="16" fillId="19" borderId="445" xfId="0" applyFont="1" applyFill="1" applyBorder="1" applyAlignment="1" applyProtection="1">
      <alignment horizontal="center" vertical="center"/>
    </xf>
    <xf numFmtId="0" fontId="16" fillId="19" borderId="149" xfId="0" applyFont="1" applyFill="1" applyBorder="1" applyAlignment="1" applyProtection="1">
      <alignment horizontal="center" vertical="center"/>
    </xf>
    <xf numFmtId="0" fontId="16" fillId="19" borderId="450" xfId="0" applyFont="1" applyFill="1" applyBorder="1" applyAlignment="1" applyProtection="1">
      <alignment horizontal="center" vertical="center"/>
    </xf>
    <xf numFmtId="0" fontId="16" fillId="19" borderId="166" xfId="0" applyFont="1" applyFill="1" applyBorder="1" applyAlignment="1" applyProtection="1">
      <alignment horizontal="center" vertical="center"/>
    </xf>
    <xf numFmtId="0" fontId="16" fillId="19" borderId="150" xfId="0" applyFont="1" applyFill="1" applyBorder="1" applyAlignment="1" applyProtection="1">
      <alignment horizontal="center" vertical="center"/>
    </xf>
    <xf numFmtId="0" fontId="16" fillId="19" borderId="152" xfId="0" applyFont="1" applyFill="1" applyBorder="1" applyAlignment="1" applyProtection="1">
      <alignment horizontal="center" vertical="center"/>
    </xf>
    <xf numFmtId="0" fontId="16" fillId="19" borderId="167" xfId="0" applyFont="1" applyFill="1" applyBorder="1" applyAlignment="1" applyProtection="1">
      <alignment horizontal="center" vertical="center"/>
    </xf>
    <xf numFmtId="0" fontId="16" fillId="19" borderId="151" xfId="0" applyFont="1" applyFill="1" applyBorder="1" applyAlignment="1" applyProtection="1">
      <alignment horizontal="center" vertical="center"/>
    </xf>
    <xf numFmtId="0" fontId="16" fillId="19" borderId="158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189" xfId="0" applyFont="1" applyFill="1" applyBorder="1" applyAlignment="1">
      <alignment horizontal="center" vertical="center"/>
    </xf>
    <xf numFmtId="0" fontId="16" fillId="19" borderId="420" xfId="0" applyFont="1" applyFill="1" applyBorder="1" applyAlignment="1">
      <alignment horizontal="center" vertical="center"/>
    </xf>
    <xf numFmtId="0" fontId="16" fillId="19" borderId="284" xfId="0" applyFont="1" applyFill="1" applyBorder="1" applyAlignment="1">
      <alignment horizontal="center" vertical="center"/>
    </xf>
    <xf numFmtId="0" fontId="16" fillId="19" borderId="558" xfId="0" applyFont="1" applyFill="1" applyBorder="1" applyAlignment="1">
      <alignment horizontal="center" vertical="center"/>
    </xf>
    <xf numFmtId="0" fontId="16" fillId="19" borderId="166" xfId="0" applyFont="1" applyFill="1" applyBorder="1" applyAlignment="1">
      <alignment horizontal="center" vertical="center"/>
    </xf>
    <xf numFmtId="0" fontId="16" fillId="19" borderId="150" xfId="0" applyFont="1" applyFill="1" applyBorder="1" applyAlignment="1">
      <alignment horizontal="center" vertical="center"/>
    </xf>
    <xf numFmtId="0" fontId="16" fillId="19" borderId="152" xfId="0" applyFont="1" applyFill="1" applyBorder="1" applyAlignment="1">
      <alignment horizontal="center" vertical="center"/>
    </xf>
    <xf numFmtId="0" fontId="16" fillId="19" borderId="182" xfId="0" applyFont="1" applyFill="1" applyBorder="1" applyAlignment="1">
      <alignment horizontal="center" vertical="center"/>
    </xf>
    <xf numFmtId="0" fontId="16" fillId="19" borderId="181" xfId="0" applyFont="1" applyFill="1" applyBorder="1" applyAlignment="1">
      <alignment horizontal="center" vertical="center"/>
    </xf>
    <xf numFmtId="0" fontId="16" fillId="19" borderId="451" xfId="0" applyFont="1" applyFill="1" applyBorder="1" applyAlignment="1">
      <alignment horizontal="center" vertical="center"/>
    </xf>
    <xf numFmtId="0" fontId="15" fillId="19" borderId="445" xfId="0" applyFont="1" applyFill="1" applyBorder="1" applyAlignment="1">
      <alignment horizontal="center" vertical="center"/>
    </xf>
    <xf numFmtId="0" fontId="15" fillId="19" borderId="149" xfId="0" applyFont="1" applyFill="1" applyBorder="1" applyAlignment="1">
      <alignment horizontal="center" vertical="center"/>
    </xf>
    <xf numFmtId="0" fontId="15" fillId="19" borderId="450" xfId="0" applyFont="1" applyFill="1" applyBorder="1" applyAlignment="1">
      <alignment horizontal="center" vertical="center"/>
    </xf>
    <xf numFmtId="0" fontId="15" fillId="19" borderId="166" xfId="0" applyFont="1" applyFill="1" applyBorder="1" applyAlignment="1">
      <alignment horizontal="center" vertical="center"/>
    </xf>
    <xf numFmtId="0" fontId="15" fillId="19" borderId="150" xfId="0" applyFont="1" applyFill="1" applyBorder="1" applyAlignment="1">
      <alignment horizontal="center" vertical="center"/>
    </xf>
    <xf numFmtId="0" fontId="15" fillId="19" borderId="152" xfId="0" applyFont="1" applyFill="1" applyBorder="1" applyAlignment="1">
      <alignment horizontal="center" vertical="center"/>
    </xf>
    <xf numFmtId="0" fontId="15" fillId="19" borderId="182" xfId="0" applyFont="1" applyFill="1" applyBorder="1" applyAlignment="1">
      <alignment horizontal="center" vertical="center"/>
    </xf>
    <xf numFmtId="0" fontId="15" fillId="19" borderId="181" xfId="0" applyFont="1" applyFill="1" applyBorder="1" applyAlignment="1">
      <alignment horizontal="center" vertical="center"/>
    </xf>
    <xf numFmtId="0" fontId="15" fillId="19" borderId="451" xfId="0" applyFont="1" applyFill="1" applyBorder="1" applyAlignment="1">
      <alignment horizontal="center" vertical="center"/>
    </xf>
    <xf numFmtId="0" fontId="16" fillId="19" borderId="446" xfId="0" applyFont="1" applyFill="1" applyBorder="1" applyAlignment="1">
      <alignment horizontal="center" vertical="center"/>
    </xf>
    <xf numFmtId="0" fontId="16" fillId="19" borderId="402" xfId="0" applyFont="1" applyFill="1" applyBorder="1" applyAlignment="1">
      <alignment horizontal="center" vertical="center"/>
    </xf>
    <xf numFmtId="0" fontId="16" fillId="19" borderId="452" xfId="0" applyFont="1" applyFill="1" applyBorder="1" applyAlignment="1">
      <alignment horizontal="center" vertical="center"/>
    </xf>
    <xf numFmtId="0" fontId="90" fillId="19" borderId="447" xfId="0" applyFont="1" applyFill="1" applyBorder="1" applyAlignment="1">
      <alignment horizontal="center" vertical="center"/>
    </xf>
    <xf numFmtId="0" fontId="90" fillId="19" borderId="173" xfId="0" applyFont="1" applyFill="1" applyBorder="1" applyAlignment="1">
      <alignment horizontal="center" vertical="center"/>
    </xf>
    <xf numFmtId="0" fontId="90" fillId="19" borderId="174" xfId="0" applyFont="1" applyFill="1" applyBorder="1" applyAlignment="1">
      <alignment horizontal="center" vertical="center"/>
    </xf>
    <xf numFmtId="0" fontId="16" fillId="19" borderId="447" xfId="0" applyFont="1" applyFill="1" applyBorder="1" applyAlignment="1">
      <alignment horizontal="center" vertical="center"/>
    </xf>
    <xf numFmtId="0" fontId="16" fillId="19" borderId="173" xfId="0" applyFont="1" applyFill="1" applyBorder="1" applyAlignment="1">
      <alignment horizontal="center" vertical="center"/>
    </xf>
    <xf numFmtId="0" fontId="16" fillId="19" borderId="174" xfId="0" applyFont="1" applyFill="1" applyBorder="1" applyAlignment="1">
      <alignment horizontal="center" vertical="center"/>
    </xf>
    <xf numFmtId="0" fontId="16" fillId="19" borderId="448" xfId="0" applyFont="1" applyFill="1" applyBorder="1" applyAlignment="1">
      <alignment horizontal="center" vertical="center"/>
    </xf>
    <xf numFmtId="0" fontId="16" fillId="19" borderId="287" xfId="0" applyFont="1" applyFill="1" applyBorder="1" applyAlignment="1">
      <alignment horizontal="center" vertical="center"/>
    </xf>
    <xf numFmtId="0" fontId="16" fillId="19" borderId="453" xfId="0" applyFont="1" applyFill="1" applyBorder="1" applyAlignment="1">
      <alignment horizontal="center" vertical="center"/>
    </xf>
    <xf numFmtId="0" fontId="16" fillId="9" borderId="166" xfId="0" applyFont="1" applyFill="1" applyBorder="1" applyAlignment="1">
      <alignment horizontal="center" vertical="center"/>
    </xf>
    <xf numFmtId="0" fontId="16" fillId="9" borderId="182" xfId="0" applyFont="1" applyFill="1" applyBorder="1" applyAlignment="1">
      <alignment horizontal="center" vertical="center"/>
    </xf>
    <xf numFmtId="0" fontId="15" fillId="9" borderId="445" xfId="0" applyFont="1" applyFill="1" applyBorder="1" applyAlignment="1">
      <alignment horizontal="center" vertical="center"/>
    </xf>
    <xf numFmtId="0" fontId="15" fillId="9" borderId="166" xfId="0" applyFont="1" applyFill="1" applyBorder="1" applyAlignment="1">
      <alignment horizontal="center" vertical="center"/>
    </xf>
    <xf numFmtId="0" fontId="15" fillId="9" borderId="182" xfId="0" applyFont="1" applyFill="1" applyBorder="1" applyAlignment="1">
      <alignment horizontal="center" vertical="center"/>
    </xf>
    <xf numFmtId="0" fontId="16" fillId="9" borderId="446" xfId="0" applyFont="1" applyFill="1" applyBorder="1" applyAlignment="1">
      <alignment horizontal="center" vertical="center"/>
    </xf>
    <xf numFmtId="0" fontId="90" fillId="9" borderId="447" xfId="0" applyFont="1" applyFill="1" applyBorder="1" applyAlignment="1">
      <alignment horizontal="center" vertical="center"/>
    </xf>
    <xf numFmtId="0" fontId="16" fillId="9" borderId="403" xfId="0" applyFont="1" applyFill="1" applyBorder="1" applyAlignment="1" applyProtection="1">
      <alignment horizontal="center" vertical="center"/>
    </xf>
    <xf numFmtId="0" fontId="16" fillId="9" borderId="160" xfId="0" applyFont="1" applyFill="1" applyBorder="1" applyAlignment="1" applyProtection="1">
      <alignment horizontal="center" vertical="center"/>
    </xf>
    <xf numFmtId="0" fontId="16" fillId="9" borderId="161" xfId="0" applyFont="1" applyFill="1" applyBorder="1" applyAlignment="1" applyProtection="1">
      <alignment horizontal="center" vertical="center"/>
    </xf>
    <xf numFmtId="0" fontId="16" fillId="9" borderId="420" xfId="0" applyFont="1" applyFill="1" applyBorder="1" applyAlignment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0" borderId="409" xfId="0" applyFont="1" applyFill="1" applyBorder="1" applyAlignment="1">
      <alignment horizontal="center" vertical="center"/>
    </xf>
    <xf numFmtId="0" fontId="16" fillId="0" borderId="284" xfId="0" applyFont="1" applyFill="1" applyBorder="1" applyAlignment="1">
      <alignment horizontal="center" vertical="center"/>
    </xf>
    <xf numFmtId="0" fontId="16" fillId="0" borderId="286" xfId="0" applyFont="1" applyFill="1" applyBorder="1" applyAlignment="1">
      <alignment horizontal="center" vertical="center"/>
    </xf>
    <xf numFmtId="0" fontId="16" fillId="0" borderId="425" xfId="0" applyFont="1" applyFill="1" applyBorder="1" applyAlignment="1" applyProtection="1">
      <alignment horizontal="center" vertical="center"/>
    </xf>
    <xf numFmtId="0" fontId="16" fillId="0" borderId="149" xfId="0" applyFont="1" applyFill="1" applyBorder="1" applyAlignment="1" applyProtection="1">
      <alignment horizontal="center" vertical="center"/>
    </xf>
    <xf numFmtId="0" fontId="16" fillId="0" borderId="403" xfId="0" applyFont="1" applyFill="1" applyBorder="1" applyAlignment="1" applyProtection="1">
      <alignment horizontal="center" vertical="center"/>
    </xf>
    <xf numFmtId="0" fontId="46" fillId="9" borderId="353" xfId="0" applyFont="1" applyFill="1" applyBorder="1" applyAlignment="1">
      <alignment horizontal="left"/>
    </xf>
    <xf numFmtId="0" fontId="46" fillId="9" borderId="354" xfId="0" applyFont="1" applyFill="1" applyBorder="1" applyAlignment="1">
      <alignment horizontal="left"/>
    </xf>
    <xf numFmtId="0" fontId="46" fillId="9" borderId="355" xfId="0" applyFont="1" applyFill="1" applyBorder="1" applyAlignment="1">
      <alignment horizontal="left"/>
    </xf>
    <xf numFmtId="0" fontId="9" fillId="0" borderId="275" xfId="0" applyFont="1" applyBorder="1" applyAlignment="1">
      <alignment horizontal="center" vertical="center" textRotation="90" wrapText="1"/>
    </xf>
    <xf numFmtId="0" fontId="46" fillId="9" borderId="318" xfId="0" applyFont="1" applyFill="1" applyBorder="1" applyAlignment="1">
      <alignment horizontal="left" vertical="center"/>
    </xf>
    <xf numFmtId="0" fontId="46" fillId="9" borderId="266" xfId="0" applyFont="1" applyFill="1" applyBorder="1" applyAlignment="1">
      <alignment horizontal="left" vertical="center"/>
    </xf>
    <xf numFmtId="0" fontId="46" fillId="9" borderId="275" xfId="0" applyFont="1" applyFill="1" applyBorder="1" applyAlignment="1">
      <alignment horizontal="left" vertical="center"/>
    </xf>
    <xf numFmtId="0" fontId="46" fillId="9" borderId="0" xfId="0" applyFont="1" applyFill="1" applyBorder="1" applyAlignment="1">
      <alignment horizontal="left" vertical="center"/>
    </xf>
    <xf numFmtId="0" fontId="16" fillId="0" borderId="163" xfId="0" applyFont="1" applyFill="1" applyBorder="1" applyAlignment="1" applyProtection="1">
      <alignment horizontal="center" vertical="center"/>
    </xf>
    <xf numFmtId="0" fontId="16" fillId="0" borderId="150" xfId="0" applyFont="1" applyFill="1" applyBorder="1" applyAlignment="1" applyProtection="1">
      <alignment horizontal="center" vertical="center"/>
    </xf>
    <xf numFmtId="0" fontId="16" fillId="0" borderId="160" xfId="0" applyFont="1" applyFill="1" applyBorder="1" applyAlignment="1" applyProtection="1">
      <alignment horizontal="center" vertical="center"/>
    </xf>
    <xf numFmtId="0" fontId="16" fillId="0" borderId="164" xfId="0" applyFont="1" applyFill="1" applyBorder="1" applyAlignment="1" applyProtection="1">
      <alignment horizontal="center" vertical="center"/>
    </xf>
    <xf numFmtId="0" fontId="16" fillId="0" borderId="151" xfId="0" applyFont="1" applyFill="1" applyBorder="1" applyAlignment="1" applyProtection="1">
      <alignment horizontal="center" vertical="center"/>
    </xf>
    <xf numFmtId="0" fontId="16" fillId="0" borderId="161" xfId="0" applyFont="1" applyFill="1" applyBorder="1" applyAlignment="1" applyProtection="1">
      <alignment horizontal="center" vertical="center"/>
    </xf>
    <xf numFmtId="0" fontId="16" fillId="2" borderId="139" xfId="0" applyFont="1" applyFill="1" applyBorder="1" applyAlignment="1">
      <alignment horizontal="center" vertical="center"/>
    </xf>
    <xf numFmtId="0" fontId="23" fillId="2" borderId="9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16" fillId="0" borderId="188" xfId="0" applyFont="1" applyFill="1" applyBorder="1" applyAlignment="1" applyProtection="1">
      <alignment horizontal="center" vertical="center"/>
    </xf>
    <xf numFmtId="0" fontId="16" fillId="0" borderId="154" xfId="0" applyFont="1" applyFill="1" applyBorder="1" applyAlignment="1" applyProtection="1">
      <alignment horizontal="center" vertical="center"/>
    </xf>
    <xf numFmtId="0" fontId="16" fillId="0" borderId="155" xfId="0" applyFont="1" applyFill="1" applyBorder="1" applyAlignment="1" applyProtection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405" xfId="0" applyFont="1" applyFill="1" applyBorder="1" applyAlignment="1">
      <alignment horizontal="center" vertical="center"/>
    </xf>
    <xf numFmtId="0" fontId="16" fillId="19" borderId="435" xfId="0" applyFont="1" applyFill="1" applyBorder="1" applyAlignment="1">
      <alignment horizontal="center" vertical="center"/>
    </xf>
    <xf numFmtId="0" fontId="16" fillId="19" borderId="442" xfId="0" applyFont="1" applyFill="1" applyBorder="1" applyAlignment="1">
      <alignment horizontal="center" vertical="center"/>
    </xf>
    <xf numFmtId="0" fontId="15" fillId="19" borderId="433" xfId="0" applyFont="1" applyFill="1" applyBorder="1" applyAlignment="1">
      <alignment horizontal="center" vertical="center"/>
    </xf>
    <xf numFmtId="0" fontId="15" fillId="19" borderId="440" xfId="0" applyFont="1" applyFill="1" applyBorder="1" applyAlignment="1">
      <alignment horizontal="center" vertical="center"/>
    </xf>
    <xf numFmtId="0" fontId="16" fillId="19" borderId="559" xfId="0" applyFont="1" applyFill="1" applyBorder="1" applyAlignment="1">
      <alignment horizontal="center" vertical="center"/>
    </xf>
    <xf numFmtId="0" fontId="16" fillId="19" borderId="560" xfId="0" applyFont="1" applyFill="1" applyBorder="1" applyAlignment="1">
      <alignment horizontal="center" vertical="center"/>
    </xf>
    <xf numFmtId="0" fontId="16" fillId="19" borderId="432" xfId="0" applyFont="1" applyFill="1" applyBorder="1" applyAlignment="1">
      <alignment horizontal="center" vertical="center"/>
    </xf>
    <xf numFmtId="0" fontId="16" fillId="19" borderId="439" xfId="0" applyFont="1" applyFill="1" applyBorder="1" applyAlignment="1">
      <alignment horizontal="center" vertical="center"/>
    </xf>
    <xf numFmtId="0" fontId="16" fillId="19" borderId="433" xfId="0" applyFont="1" applyFill="1" applyBorder="1" applyAlignment="1">
      <alignment horizontal="center" vertical="center"/>
    </xf>
    <xf numFmtId="0" fontId="16" fillId="19" borderId="440" xfId="0" applyFont="1" applyFill="1" applyBorder="1" applyAlignment="1">
      <alignment horizontal="center" vertical="center"/>
    </xf>
    <xf numFmtId="0" fontId="15" fillId="19" borderId="431" xfId="0" applyFont="1" applyFill="1" applyBorder="1" applyAlignment="1">
      <alignment horizontal="center" vertical="center"/>
    </xf>
    <xf numFmtId="0" fontId="15" fillId="19" borderId="438" xfId="0" applyFont="1" applyFill="1" applyBorder="1" applyAlignment="1">
      <alignment horizontal="center" vertical="center"/>
    </xf>
    <xf numFmtId="0" fontId="15" fillId="19" borderId="432" xfId="0" applyFont="1" applyFill="1" applyBorder="1" applyAlignment="1">
      <alignment horizontal="center" vertical="center"/>
    </xf>
    <xf numFmtId="0" fontId="15" fillId="19" borderId="439" xfId="0" applyFont="1" applyFill="1" applyBorder="1" applyAlignment="1">
      <alignment horizontal="center" vertical="center"/>
    </xf>
    <xf numFmtId="0" fontId="15" fillId="0" borderId="359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5" fillId="0" borderId="361" xfId="0" applyFont="1" applyFill="1" applyBorder="1" applyAlignment="1">
      <alignment horizontal="center" vertical="center"/>
    </xf>
    <xf numFmtId="0" fontId="16" fillId="0" borderId="401" xfId="0" applyFont="1" applyFill="1" applyBorder="1" applyAlignment="1">
      <alignment horizontal="center" vertical="center"/>
    </xf>
    <xf numFmtId="0" fontId="16" fillId="0" borderId="402" xfId="0" applyFont="1" applyFill="1" applyBorder="1" applyAlignment="1">
      <alignment horizontal="center" vertical="center"/>
    </xf>
    <xf numFmtId="0" fontId="16" fillId="0" borderId="404" xfId="0" applyFont="1" applyFill="1" applyBorder="1" applyAlignment="1">
      <alignment horizontal="center" vertical="center"/>
    </xf>
    <xf numFmtId="0" fontId="90" fillId="0" borderId="171" xfId="0" applyFont="1" applyFill="1" applyBorder="1" applyAlignment="1">
      <alignment horizontal="center" vertical="center"/>
    </xf>
    <xf numFmtId="0" fontId="90" fillId="0" borderId="173" xfId="0" applyFont="1" applyFill="1" applyBorder="1" applyAlignment="1">
      <alignment horizontal="center" vertical="center"/>
    </xf>
    <xf numFmtId="0" fontId="90" fillId="0" borderId="405" xfId="0" applyFont="1" applyFill="1" applyBorder="1" applyAlignment="1">
      <alignment horizontal="center" vertical="center"/>
    </xf>
    <xf numFmtId="0" fontId="16" fillId="0" borderId="288" xfId="0" applyFont="1" applyFill="1" applyBorder="1" applyAlignment="1">
      <alignment horizontal="center" vertical="center"/>
    </xf>
    <xf numFmtId="0" fontId="16" fillId="0" borderId="287" xfId="0" applyFont="1" applyFill="1" applyBorder="1" applyAlignment="1">
      <alignment horizontal="center" vertical="center"/>
    </xf>
    <xf numFmtId="0" fontId="16" fillId="0" borderId="406" xfId="0" applyFont="1" applyFill="1" applyBorder="1" applyAlignment="1">
      <alignment horizontal="center" vertical="center"/>
    </xf>
    <xf numFmtId="0" fontId="15" fillId="0" borderId="154" xfId="0" applyFont="1" applyFill="1" applyBorder="1" applyAlignment="1">
      <alignment horizontal="center" vertical="center"/>
    </xf>
    <xf numFmtId="0" fontId="15" fillId="0" borderId="160" xfId="0" applyFont="1" applyFill="1" applyBorder="1" applyAlignment="1">
      <alignment horizontal="center" vertical="center"/>
    </xf>
    <xf numFmtId="0" fontId="15" fillId="0" borderId="187" xfId="0" applyFont="1" applyFill="1" applyBorder="1" applyAlignment="1">
      <alignment horizontal="center" vertical="center"/>
    </xf>
    <xf numFmtId="0" fontId="15" fillId="0" borderId="181" xfId="0" applyFont="1" applyFill="1" applyBorder="1" applyAlignment="1">
      <alignment horizontal="center" vertical="center"/>
    </xf>
    <xf numFmtId="0" fontId="15" fillId="0" borderId="400" xfId="0" applyFont="1" applyFill="1" applyBorder="1" applyAlignment="1">
      <alignment horizontal="center" vertical="center"/>
    </xf>
    <xf numFmtId="0" fontId="16" fillId="0" borderId="285" xfId="0" applyFont="1" applyFill="1" applyBorder="1" applyAlignment="1">
      <alignment horizontal="center" vertical="center"/>
    </xf>
    <xf numFmtId="0" fontId="16" fillId="0" borderId="154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160" xfId="0" applyFont="1" applyFill="1" applyBorder="1" applyAlignment="1">
      <alignment horizontal="center" vertical="center"/>
    </xf>
    <xf numFmtId="0" fontId="16" fillId="0" borderId="187" xfId="0" applyFont="1" applyFill="1" applyBorder="1" applyAlignment="1">
      <alignment horizontal="center" vertical="center"/>
    </xf>
    <xf numFmtId="0" fontId="16" fillId="0" borderId="181" xfId="0" applyFont="1" applyFill="1" applyBorder="1" applyAlignment="1">
      <alignment horizontal="center" vertical="center"/>
    </xf>
    <xf numFmtId="0" fontId="16" fillId="0" borderId="400" xfId="0" applyFont="1" applyFill="1" applyBorder="1" applyAlignment="1">
      <alignment horizontal="center" vertical="center"/>
    </xf>
    <xf numFmtId="0" fontId="15" fillId="0" borderId="188" xfId="0" applyFont="1" applyFill="1" applyBorder="1" applyAlignment="1">
      <alignment horizontal="center" vertical="center"/>
    </xf>
    <xf numFmtId="0" fontId="15" fillId="0" borderId="149" xfId="0" applyFont="1" applyFill="1" applyBorder="1" applyAlignment="1">
      <alignment horizontal="center" vertical="center"/>
    </xf>
    <xf numFmtId="0" fontId="15" fillId="0" borderId="403" xfId="0" applyFont="1" applyFill="1" applyBorder="1" applyAlignment="1">
      <alignment horizontal="center" vertical="center"/>
    </xf>
    <xf numFmtId="0" fontId="15" fillId="19" borderId="437" xfId="0" applyFont="1" applyFill="1" applyBorder="1" applyAlignment="1">
      <alignment horizontal="center" vertical="center"/>
    </xf>
    <xf numFmtId="0" fontId="15" fillId="19" borderId="444" xfId="0" applyFont="1" applyFill="1" applyBorder="1" applyAlignment="1">
      <alignment horizontal="center" vertical="center"/>
    </xf>
    <xf numFmtId="0" fontId="16" fillId="19" borderId="434" xfId="0" applyFont="1" applyFill="1" applyBorder="1" applyAlignment="1">
      <alignment horizontal="center" vertical="center"/>
    </xf>
    <xf numFmtId="0" fontId="16" fillId="19" borderId="441" xfId="0" applyFont="1" applyFill="1" applyBorder="1" applyAlignment="1">
      <alignment horizontal="center" vertical="center"/>
    </xf>
    <xf numFmtId="0" fontId="90" fillId="19" borderId="435" xfId="0" applyFont="1" applyFill="1" applyBorder="1" applyAlignment="1">
      <alignment horizontal="center" vertical="center"/>
    </xf>
    <xf numFmtId="0" fontId="90" fillId="19" borderId="442" xfId="0" applyFont="1" applyFill="1" applyBorder="1" applyAlignment="1">
      <alignment horizontal="center" vertical="center"/>
    </xf>
    <xf numFmtId="0" fontId="16" fillId="0" borderId="428" xfId="0" applyFont="1" applyFill="1" applyBorder="1" applyAlignment="1">
      <alignment horizontal="center" vertical="center"/>
    </xf>
    <xf numFmtId="0" fontId="16" fillId="0" borderId="429" xfId="0" applyFont="1" applyFill="1" applyBorder="1" applyAlignment="1">
      <alignment horizontal="center" vertical="center"/>
    </xf>
    <xf numFmtId="0" fontId="16" fillId="19" borderId="436" xfId="0" applyFont="1" applyFill="1" applyBorder="1" applyAlignment="1">
      <alignment horizontal="center" vertical="center"/>
    </xf>
    <xf numFmtId="0" fontId="16" fillId="19" borderId="443" xfId="0" applyFont="1" applyFill="1" applyBorder="1" applyAlignment="1">
      <alignment horizontal="center" vertical="center"/>
    </xf>
    <xf numFmtId="0" fontId="15" fillId="0" borderId="430" xfId="0" applyFont="1" applyFill="1" applyBorder="1" applyAlignment="1">
      <alignment horizontal="center" vertical="center"/>
    </xf>
    <xf numFmtId="0" fontId="16" fillId="0" borderId="163" xfId="0" applyFont="1" applyFill="1" applyBorder="1" applyAlignment="1">
      <alignment horizontal="center" vertical="center"/>
    </xf>
    <xf numFmtId="0" fontId="16" fillId="0" borderId="426" xfId="0" applyFont="1" applyFill="1" applyBorder="1" applyAlignment="1">
      <alignment horizontal="center" vertical="center"/>
    </xf>
    <xf numFmtId="0" fontId="15" fillId="0" borderId="425" xfId="0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center" vertical="center"/>
    </xf>
    <xf numFmtId="0" fontId="15" fillId="0" borderId="426" xfId="0" applyFont="1" applyFill="1" applyBorder="1" applyAlignment="1">
      <alignment horizontal="center" vertical="center"/>
    </xf>
    <xf numFmtId="0" fontId="16" fillId="0" borderId="427" xfId="0" applyFont="1" applyFill="1" applyBorder="1" applyAlignment="1">
      <alignment horizontal="center" vertical="center"/>
    </xf>
    <xf numFmtId="0" fontId="90" fillId="0" borderId="428" xfId="0" applyFont="1" applyFill="1" applyBorder="1" applyAlignment="1">
      <alignment horizontal="center" vertical="center"/>
    </xf>
    <xf numFmtId="0" fontId="16" fillId="19" borderId="429" xfId="0" applyFont="1" applyFill="1" applyBorder="1" applyAlignment="1">
      <alignment horizontal="center" vertical="center"/>
    </xf>
    <xf numFmtId="0" fontId="16" fillId="19" borderId="406" xfId="0" applyFont="1" applyFill="1" applyBorder="1" applyAlignment="1">
      <alignment horizontal="center" vertical="center"/>
    </xf>
    <xf numFmtId="0" fontId="15" fillId="19" borderId="426" xfId="0" applyFont="1" applyFill="1" applyBorder="1" applyAlignment="1">
      <alignment horizontal="center" vertical="center"/>
    </xf>
    <xf numFmtId="0" fontId="15" fillId="19" borderId="400" xfId="0" applyFont="1" applyFill="1" applyBorder="1" applyAlignment="1">
      <alignment horizontal="center" vertical="center"/>
    </xf>
    <xf numFmtId="0" fontId="90" fillId="19" borderId="428" xfId="0" applyFont="1" applyFill="1" applyBorder="1" applyAlignment="1">
      <alignment horizontal="center" vertical="center"/>
    </xf>
    <xf numFmtId="0" fontId="90" fillId="19" borderId="405" xfId="0" applyFont="1" applyFill="1" applyBorder="1" applyAlignment="1">
      <alignment horizontal="center" vertical="center"/>
    </xf>
    <xf numFmtId="0" fontId="16" fillId="19" borderId="428" xfId="0" applyFont="1" applyFill="1" applyBorder="1" applyAlignment="1">
      <alignment horizontal="center" vertical="center"/>
    </xf>
    <xf numFmtId="0" fontId="16" fillId="19" borderId="405" xfId="0" applyFont="1" applyFill="1" applyBorder="1" applyAlignment="1">
      <alignment horizontal="center" vertical="center"/>
    </xf>
    <xf numFmtId="0" fontId="16" fillId="0" borderId="447" xfId="0" applyFont="1" applyFill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16" fillId="19" borderId="163" xfId="0" applyFont="1" applyFill="1" applyBorder="1" applyAlignment="1">
      <alignment horizontal="center" vertical="center"/>
    </xf>
    <xf numFmtId="0" fontId="16" fillId="19" borderId="160" xfId="0" applyFont="1" applyFill="1" applyBorder="1" applyAlignment="1">
      <alignment horizontal="center" vertical="center"/>
    </xf>
    <xf numFmtId="0" fontId="16" fillId="19" borderId="426" xfId="0" applyFont="1" applyFill="1" applyBorder="1" applyAlignment="1">
      <alignment horizontal="center" vertical="center"/>
    </xf>
    <xf numFmtId="0" fontId="16" fillId="19" borderId="400" xfId="0" applyFont="1" applyFill="1" applyBorder="1" applyAlignment="1">
      <alignment horizontal="center" vertical="center"/>
    </xf>
    <xf numFmtId="0" fontId="15" fillId="19" borderId="425" xfId="0" applyFont="1" applyFill="1" applyBorder="1" applyAlignment="1">
      <alignment horizontal="center" vertical="center"/>
    </xf>
    <xf numFmtId="0" fontId="15" fillId="19" borderId="403" xfId="0" applyFont="1" applyFill="1" applyBorder="1" applyAlignment="1">
      <alignment horizontal="center" vertical="center"/>
    </xf>
    <xf numFmtId="0" fontId="15" fillId="19" borderId="163" xfId="0" applyFont="1" applyFill="1" applyBorder="1" applyAlignment="1">
      <alignment horizontal="center" vertical="center"/>
    </xf>
    <xf numFmtId="0" fontId="15" fillId="19" borderId="160" xfId="0" applyFont="1" applyFill="1" applyBorder="1" applyAlignment="1">
      <alignment horizontal="center" vertical="center"/>
    </xf>
    <xf numFmtId="0" fontId="16" fillId="0" borderId="420" xfId="0" applyFont="1" applyFill="1" applyBorder="1" applyAlignment="1">
      <alignment horizontal="center" vertical="center"/>
    </xf>
    <xf numFmtId="0" fontId="16" fillId="0" borderId="558" xfId="0" applyFont="1" applyFill="1" applyBorder="1" applyAlignment="1">
      <alignment horizontal="center" vertical="center"/>
    </xf>
    <xf numFmtId="0" fontId="16" fillId="19" borderId="427" xfId="0" applyFont="1" applyFill="1" applyBorder="1" applyAlignment="1">
      <alignment horizontal="center" vertical="center"/>
    </xf>
    <xf numFmtId="0" fontId="16" fillId="19" borderId="404" xfId="0" applyFont="1" applyFill="1" applyBorder="1" applyAlignment="1">
      <alignment horizontal="center" vertical="center"/>
    </xf>
    <xf numFmtId="0" fontId="16" fillId="19" borderId="409" xfId="0" applyFont="1" applyFill="1" applyBorder="1" applyAlignment="1">
      <alignment horizontal="center" vertical="center"/>
    </xf>
    <xf numFmtId="0" fontId="16" fillId="19" borderId="286" xfId="0" applyFont="1" applyFill="1" applyBorder="1" applyAlignment="1">
      <alignment horizontal="center" vertical="center"/>
    </xf>
    <xf numFmtId="0" fontId="16" fillId="0" borderId="446" xfId="0" applyFont="1" applyFill="1" applyBorder="1" applyAlignment="1">
      <alignment horizontal="center" vertical="center"/>
    </xf>
    <xf numFmtId="0" fontId="16" fillId="0" borderId="452" xfId="0" applyFont="1" applyFill="1" applyBorder="1" applyAlignment="1">
      <alignment horizontal="center" vertical="center"/>
    </xf>
    <xf numFmtId="0" fontId="90" fillId="0" borderId="447" xfId="0" applyFont="1" applyFill="1" applyBorder="1" applyAlignment="1">
      <alignment horizontal="center" vertical="center"/>
    </xf>
    <xf numFmtId="0" fontId="90" fillId="0" borderId="174" xfId="0" applyFont="1" applyFill="1" applyBorder="1" applyAlignment="1">
      <alignment horizontal="center" vertical="center"/>
    </xf>
    <xf numFmtId="0" fontId="15" fillId="0" borderId="182" xfId="0" applyFont="1" applyFill="1" applyBorder="1" applyAlignment="1">
      <alignment horizontal="center" vertical="center"/>
    </xf>
    <xf numFmtId="0" fontId="15" fillId="0" borderId="451" xfId="0" applyFont="1" applyFill="1" applyBorder="1" applyAlignment="1">
      <alignment horizontal="center" vertical="center"/>
    </xf>
    <xf numFmtId="0" fontId="15" fillId="0" borderId="449" xfId="0" applyFont="1" applyFill="1" applyBorder="1" applyAlignment="1">
      <alignment horizontal="center" vertical="center"/>
    </xf>
    <xf numFmtId="0" fontId="15" fillId="0" borderId="317" xfId="0" applyFont="1" applyFill="1" applyBorder="1" applyAlignment="1">
      <alignment horizontal="center" vertical="center"/>
    </xf>
    <xf numFmtId="0" fontId="16" fillId="0" borderId="166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0" borderId="182" xfId="0" applyFont="1" applyFill="1" applyBorder="1" applyAlignment="1">
      <alignment horizontal="center" vertical="center"/>
    </xf>
    <xf numFmtId="0" fontId="16" fillId="0" borderId="451" xfId="0" applyFont="1" applyFill="1" applyBorder="1" applyAlignment="1">
      <alignment horizontal="center" vertical="center"/>
    </xf>
    <xf numFmtId="0" fontId="15" fillId="0" borderId="445" xfId="0" applyFont="1" applyFill="1" applyBorder="1" applyAlignment="1">
      <alignment horizontal="center" vertical="center"/>
    </xf>
    <xf numFmtId="0" fontId="15" fillId="0" borderId="450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5" fillId="0" borderId="152" xfId="0" applyFont="1" applyFill="1" applyBorder="1" applyAlignment="1">
      <alignment horizontal="center" vertical="center"/>
    </xf>
    <xf numFmtId="0" fontId="16" fillId="0" borderId="448" xfId="0" applyFont="1" applyFill="1" applyBorder="1" applyAlignment="1">
      <alignment horizontal="center" vertical="center"/>
    </xf>
    <xf numFmtId="0" fontId="16" fillId="0" borderId="453" xfId="0" applyFont="1" applyFill="1" applyBorder="1" applyAlignment="1">
      <alignment horizontal="center" vertical="center"/>
    </xf>
    <xf numFmtId="0" fontId="15" fillId="19" borderId="430" xfId="0" applyFont="1" applyFill="1" applyBorder="1" applyAlignment="1">
      <alignment horizontal="center" vertical="center"/>
    </xf>
    <xf numFmtId="0" fontId="15" fillId="19" borderId="361" xfId="0" applyFont="1" applyFill="1" applyBorder="1" applyAlignment="1">
      <alignment horizontal="center" vertical="center"/>
    </xf>
    <xf numFmtId="0" fontId="3" fillId="0" borderId="368" xfId="0" applyFont="1" applyBorder="1" applyAlignment="1">
      <alignment horizontal="center" vertical="center" textRotation="90"/>
    </xf>
    <xf numFmtId="0" fontId="3" fillId="0" borderId="369" xfId="0" applyFont="1" applyBorder="1" applyAlignment="1">
      <alignment horizontal="center" vertical="center" textRotation="90"/>
    </xf>
    <xf numFmtId="0" fontId="51" fillId="0" borderId="367" xfId="0" applyFont="1" applyFill="1" applyBorder="1" applyAlignment="1">
      <alignment horizontal="center" vertical="center" textRotation="90"/>
    </xf>
    <xf numFmtId="0" fontId="51" fillId="0" borderId="368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75" fillId="0" borderId="22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225" xfId="0" applyFont="1" applyBorder="1" applyAlignment="1">
      <alignment horizontal="right"/>
    </xf>
    <xf numFmtId="0" fontId="75" fillId="0" borderId="372" xfId="0" applyFont="1" applyBorder="1" applyAlignment="1">
      <alignment horizontal="right"/>
    </xf>
    <xf numFmtId="0" fontId="75" fillId="0" borderId="321" xfId="0" applyFont="1" applyBorder="1" applyAlignment="1">
      <alignment horizontal="right"/>
    </xf>
    <xf numFmtId="0" fontId="75" fillId="0" borderId="322" xfId="0" applyFont="1" applyBorder="1" applyAlignment="1">
      <alignment horizontal="right"/>
    </xf>
    <xf numFmtId="0" fontId="9" fillId="4" borderId="37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14" fontId="9" fillId="0" borderId="320" xfId="0" applyNumberFormat="1" applyFont="1" applyFill="1" applyBorder="1" applyAlignment="1">
      <alignment horizontal="center" vertical="center"/>
    </xf>
    <xf numFmtId="14" fontId="9" fillId="0" borderId="321" xfId="0" applyNumberFormat="1" applyFont="1" applyFill="1" applyBorder="1" applyAlignment="1">
      <alignment horizontal="center" vertical="center"/>
    </xf>
    <xf numFmtId="0" fontId="9" fillId="0" borderId="371" xfId="0" applyFont="1" applyFill="1" applyBorder="1" applyAlignment="1">
      <alignment horizontal="center" vertical="center"/>
    </xf>
    <xf numFmtId="0" fontId="13" fillId="0" borderId="182" xfId="0" applyFont="1" applyFill="1" applyBorder="1" applyAlignment="1" applyProtection="1">
      <alignment horizontal="center" vertical="center"/>
    </xf>
    <xf numFmtId="0" fontId="13" fillId="0" borderId="183" xfId="0" applyFont="1" applyFill="1" applyBorder="1" applyAlignment="1" applyProtection="1">
      <alignment horizontal="center" vertical="center"/>
    </xf>
    <xf numFmtId="0" fontId="13" fillId="0" borderId="181" xfId="0" applyFont="1" applyFill="1" applyBorder="1" applyAlignment="1" applyProtection="1">
      <alignment horizontal="center" vertical="center"/>
    </xf>
    <xf numFmtId="0" fontId="13" fillId="0" borderId="18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185" xfId="0" applyFont="1" applyFill="1" applyBorder="1" applyAlignment="1" applyProtection="1">
      <alignment horizontal="center" vertical="center"/>
    </xf>
    <xf numFmtId="0" fontId="13" fillId="0" borderId="186" xfId="0" applyFont="1" applyFill="1" applyBorder="1" applyAlignment="1" applyProtection="1">
      <alignment horizontal="center" vertical="center"/>
    </xf>
    <xf numFmtId="0" fontId="44" fillId="9" borderId="363" xfId="0" applyFont="1" applyFill="1" applyBorder="1" applyAlignment="1">
      <alignment horizontal="left"/>
    </xf>
    <xf numFmtId="0" fontId="44" fillId="9" borderId="120" xfId="0" applyFont="1" applyFill="1" applyBorder="1" applyAlignment="1">
      <alignment horizontal="left"/>
    </xf>
    <xf numFmtId="0" fontId="44" fillId="9" borderId="56" xfId="0" applyFont="1" applyFill="1" applyBorder="1" applyAlignment="1">
      <alignment horizontal="left"/>
    </xf>
    <xf numFmtId="0" fontId="13" fillId="0" borderId="229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0" fontId="20" fillId="11" borderId="365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24" xfId="0" applyFont="1" applyFill="1" applyBorder="1" applyAlignment="1">
      <alignment horizontal="center" vertical="center"/>
    </xf>
    <xf numFmtId="0" fontId="15" fillId="9" borderId="447" xfId="0" applyFont="1" applyFill="1" applyBorder="1" applyAlignment="1">
      <alignment horizontal="center" vertical="center"/>
    </xf>
    <xf numFmtId="0" fontId="15" fillId="9" borderId="173" xfId="0" applyFont="1" applyFill="1" applyBorder="1" applyAlignment="1">
      <alignment horizontal="center" vertical="center"/>
    </xf>
    <xf numFmtId="0" fontId="15" fillId="9" borderId="174" xfId="0" applyFont="1" applyFill="1" applyBorder="1" applyAlignment="1">
      <alignment horizontal="center" vertical="center"/>
    </xf>
    <xf numFmtId="0" fontId="15" fillId="9" borderId="551" xfId="0" applyFont="1" applyFill="1" applyBorder="1" applyAlignment="1">
      <alignment horizontal="center" vertical="center"/>
    </xf>
    <xf numFmtId="0" fontId="15" fillId="9" borderId="169" xfId="0" applyFont="1" applyFill="1" applyBorder="1" applyAlignment="1">
      <alignment horizontal="center" vertical="center"/>
    </xf>
    <xf numFmtId="0" fontId="15" fillId="9" borderId="175" xfId="0" applyFont="1" applyFill="1" applyBorder="1" applyAlignment="1">
      <alignment horizontal="center" vertical="center"/>
    </xf>
    <xf numFmtId="0" fontId="16" fillId="9" borderId="555" xfId="0" applyFont="1" applyFill="1" applyBorder="1" applyAlignment="1">
      <alignment horizontal="center" vertical="center"/>
    </xf>
    <xf numFmtId="0" fontId="16" fillId="9" borderId="180" xfId="0" applyFont="1" applyFill="1" applyBorder="1" applyAlignment="1">
      <alignment horizontal="center" vertical="center"/>
    </xf>
    <xf numFmtId="0" fontId="16" fillId="9" borderId="243" xfId="0" applyFont="1" applyFill="1" applyBorder="1" applyAlignment="1">
      <alignment horizontal="center" vertical="center"/>
    </xf>
    <xf numFmtId="0" fontId="15" fillId="9" borderId="550" xfId="0" applyFont="1" applyFill="1" applyBorder="1" applyAlignment="1">
      <alignment horizontal="center" vertical="center"/>
    </xf>
    <xf numFmtId="0" fontId="15" fillId="9" borderId="172" xfId="0" applyFont="1" applyFill="1" applyBorder="1" applyAlignment="1">
      <alignment horizontal="center" vertical="center"/>
    </xf>
    <xf numFmtId="0" fontId="15" fillId="9" borderId="179" xfId="0" applyFont="1" applyFill="1" applyBorder="1" applyAlignment="1">
      <alignment horizontal="center" vertical="center"/>
    </xf>
    <xf numFmtId="0" fontId="16" fillId="9" borderId="550" xfId="0" applyFont="1" applyFill="1" applyBorder="1" applyAlignment="1">
      <alignment horizontal="center" vertical="center"/>
    </xf>
    <xf numFmtId="0" fontId="16" fillId="9" borderId="172" xfId="0" applyFont="1" applyFill="1" applyBorder="1" applyAlignment="1">
      <alignment horizontal="center" vertical="center"/>
    </xf>
    <xf numFmtId="0" fontId="16" fillId="9" borderId="179" xfId="0" applyFont="1" applyFill="1" applyBorder="1" applyAlignment="1">
      <alignment horizontal="center" vertical="center"/>
    </xf>
    <xf numFmtId="0" fontId="15" fillId="23" borderId="428" xfId="0" applyFont="1" applyFill="1" applyBorder="1" applyAlignment="1">
      <alignment horizontal="center" vertical="center"/>
    </xf>
    <xf numFmtId="0" fontId="15" fillId="23" borderId="173" xfId="0" applyFont="1" applyFill="1" applyBorder="1" applyAlignment="1">
      <alignment horizontal="center" vertical="center"/>
    </xf>
    <xf numFmtId="0" fontId="15" fillId="23" borderId="405" xfId="0" applyFont="1" applyFill="1" applyBorder="1" applyAlignment="1">
      <alignment horizontal="center" vertical="center"/>
    </xf>
    <xf numFmtId="0" fontId="16" fillId="23" borderId="428" xfId="0" applyFont="1" applyFill="1" applyBorder="1" applyAlignment="1">
      <alignment horizontal="center" vertical="center"/>
    </xf>
    <xf numFmtId="0" fontId="16" fillId="23" borderId="173" xfId="0" applyFont="1" applyFill="1" applyBorder="1" applyAlignment="1">
      <alignment horizontal="center" vertical="center"/>
    </xf>
    <xf numFmtId="0" fontId="16" fillId="23" borderId="405" xfId="0" applyFont="1" applyFill="1" applyBorder="1" applyAlignment="1">
      <alignment horizontal="center" vertical="center"/>
    </xf>
    <xf numFmtId="0" fontId="16" fillId="23" borderId="556" xfId="0" applyFont="1" applyFill="1" applyBorder="1" applyAlignment="1">
      <alignment horizontal="center" vertical="center"/>
    </xf>
    <xf numFmtId="0" fontId="16" fillId="23" borderId="180" xfId="0" applyFont="1" applyFill="1" applyBorder="1" applyAlignment="1">
      <alignment horizontal="center" vertical="center"/>
    </xf>
    <xf numFmtId="0" fontId="16" fillId="23" borderId="554" xfId="0" applyFont="1" applyFill="1" applyBorder="1" applyAlignment="1">
      <alignment horizontal="center" vertical="center"/>
    </xf>
    <xf numFmtId="0" fontId="15" fillId="23" borderId="546" xfId="0" applyFont="1" applyFill="1" applyBorder="1" applyAlignment="1">
      <alignment horizontal="center" vertical="center"/>
    </xf>
    <xf numFmtId="0" fontId="15" fillId="23" borderId="172" xfId="0" applyFont="1" applyFill="1" applyBorder="1" applyAlignment="1">
      <alignment horizontal="center" vertical="center"/>
    </xf>
    <xf numFmtId="0" fontId="15" fillId="23" borderId="547" xfId="0" applyFont="1" applyFill="1" applyBorder="1" applyAlignment="1">
      <alignment horizontal="center" vertical="center"/>
    </xf>
    <xf numFmtId="0" fontId="15" fillId="23" borderId="553" xfId="0" applyFont="1" applyFill="1" applyBorder="1" applyAlignment="1">
      <alignment horizontal="center" vertical="center"/>
    </xf>
    <xf numFmtId="0" fontId="15" fillId="23" borderId="169" xfId="0" applyFont="1" applyFill="1" applyBorder="1" applyAlignment="1">
      <alignment horizontal="center" vertical="center"/>
    </xf>
    <xf numFmtId="0" fontId="15" fillId="23" borderId="552" xfId="0" applyFont="1" applyFill="1" applyBorder="1" applyAlignment="1">
      <alignment horizontal="center" vertical="center"/>
    </xf>
    <xf numFmtId="0" fontId="16" fillId="2" borderId="65" xfId="0" applyFont="1" applyFill="1" applyBorder="1" applyAlignment="1" applyProtection="1">
      <alignment horizontal="center" vertical="center"/>
    </xf>
    <xf numFmtId="0" fontId="16" fillId="2" borderId="69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9" borderId="594" xfId="0" applyFont="1" applyFill="1" applyBorder="1" applyAlignment="1" applyProtection="1">
      <alignment horizontal="center" vertical="center"/>
    </xf>
    <xf numFmtId="0" fontId="16" fillId="9" borderId="585" xfId="0" applyFont="1" applyFill="1" applyBorder="1" applyAlignment="1" applyProtection="1">
      <alignment horizontal="center" vertical="center"/>
    </xf>
    <xf numFmtId="0" fontId="16" fillId="9" borderId="588" xfId="0" applyFont="1" applyFill="1" applyBorder="1" applyAlignment="1" applyProtection="1">
      <alignment horizontal="center" vertical="center"/>
    </xf>
    <xf numFmtId="0" fontId="16" fillId="9" borderId="595" xfId="0" applyFont="1" applyFill="1" applyBorder="1" applyAlignment="1" applyProtection="1">
      <alignment horizontal="center" vertical="center"/>
    </xf>
    <xf numFmtId="0" fontId="16" fillId="9" borderId="586" xfId="0" applyFont="1" applyFill="1" applyBorder="1" applyAlignment="1" applyProtection="1">
      <alignment horizontal="center" vertical="center"/>
    </xf>
    <xf numFmtId="0" fontId="16" fillId="9" borderId="589" xfId="0" applyFont="1" applyFill="1" applyBorder="1" applyAlignment="1" applyProtection="1">
      <alignment horizontal="center" vertical="center"/>
    </xf>
    <xf numFmtId="0" fontId="16" fillId="9" borderId="596" xfId="0" applyFont="1" applyFill="1" applyBorder="1" applyAlignment="1" applyProtection="1">
      <alignment horizontal="center" vertical="center"/>
    </xf>
    <xf numFmtId="0" fontId="16" fillId="9" borderId="587" xfId="0" applyFont="1" applyFill="1" applyBorder="1" applyAlignment="1" applyProtection="1">
      <alignment horizontal="center" vertical="center"/>
    </xf>
    <xf numFmtId="0" fontId="16" fillId="9" borderId="590" xfId="0" applyFont="1" applyFill="1" applyBorder="1" applyAlignment="1" applyProtection="1">
      <alignment horizontal="center" vertical="center"/>
    </xf>
    <xf numFmtId="0" fontId="16" fillId="2" borderId="557" xfId="0" applyFont="1" applyFill="1" applyBorder="1" applyAlignment="1" applyProtection="1">
      <alignment horizontal="center" vertical="center"/>
    </xf>
    <xf numFmtId="0" fontId="16" fillId="23" borderId="594" xfId="0" applyFont="1" applyFill="1" applyBorder="1" applyAlignment="1" applyProtection="1">
      <alignment horizontal="center" vertical="center"/>
    </xf>
    <xf numFmtId="0" fontId="16" fillId="23" borderId="585" xfId="0" applyFont="1" applyFill="1" applyBorder="1" applyAlignment="1" applyProtection="1">
      <alignment horizontal="center" vertical="center"/>
    </xf>
    <xf numFmtId="0" fontId="16" fillId="23" borderId="588" xfId="0" applyFont="1" applyFill="1" applyBorder="1" applyAlignment="1" applyProtection="1">
      <alignment horizontal="center" vertical="center"/>
    </xf>
    <xf numFmtId="0" fontId="16" fillId="23" borderId="595" xfId="0" applyFont="1" applyFill="1" applyBorder="1" applyAlignment="1" applyProtection="1">
      <alignment horizontal="center" vertical="center"/>
    </xf>
    <xf numFmtId="0" fontId="16" fillId="23" borderId="586" xfId="0" applyFont="1" applyFill="1" applyBorder="1" applyAlignment="1" applyProtection="1">
      <alignment horizontal="center" vertical="center"/>
    </xf>
    <xf numFmtId="0" fontId="16" fillId="23" borderId="589" xfId="0" applyFont="1" applyFill="1" applyBorder="1" applyAlignment="1" applyProtection="1">
      <alignment horizontal="center" vertical="center"/>
    </xf>
    <xf numFmtId="0" fontId="16" fillId="23" borderId="596" xfId="0" applyFont="1" applyFill="1" applyBorder="1" applyAlignment="1" applyProtection="1">
      <alignment horizontal="center" vertical="center"/>
    </xf>
    <xf numFmtId="0" fontId="16" fillId="23" borderId="587" xfId="0" applyFont="1" applyFill="1" applyBorder="1" applyAlignment="1" applyProtection="1">
      <alignment horizontal="center" vertical="center"/>
    </xf>
    <xf numFmtId="0" fontId="16" fillId="23" borderId="590" xfId="0" applyFont="1" applyFill="1" applyBorder="1" applyAlignment="1" applyProtection="1">
      <alignment horizontal="center" vertical="center"/>
    </xf>
    <xf numFmtId="0" fontId="16" fillId="23" borderId="546" xfId="0" applyFont="1" applyFill="1" applyBorder="1" applyAlignment="1">
      <alignment horizontal="center" vertical="center"/>
    </xf>
    <xf numFmtId="0" fontId="16" fillId="23" borderId="172" xfId="0" applyFont="1" applyFill="1" applyBorder="1" applyAlignment="1">
      <alignment horizontal="center" vertical="center"/>
    </xf>
    <xf numFmtId="0" fontId="16" fillId="23" borderId="547" xfId="0" applyFont="1" applyFill="1" applyBorder="1" applyAlignment="1">
      <alignment horizontal="center" vertical="center"/>
    </xf>
    <xf numFmtId="0" fontId="90" fillId="23" borderId="428" xfId="0" applyFont="1" applyFill="1" applyBorder="1" applyAlignment="1">
      <alignment horizontal="center" vertical="center"/>
    </xf>
    <xf numFmtId="0" fontId="90" fillId="23" borderId="173" xfId="0" applyFont="1" applyFill="1" applyBorder="1" applyAlignment="1">
      <alignment horizontal="center" vertical="center"/>
    </xf>
    <xf numFmtId="0" fontId="90" fillId="23" borderId="405" xfId="0" applyFont="1" applyFill="1" applyBorder="1" applyAlignment="1">
      <alignment horizontal="center" vertical="center"/>
    </xf>
    <xf numFmtId="0" fontId="16" fillId="2" borderId="189" xfId="0" applyFont="1" applyFill="1" applyBorder="1" applyAlignment="1" applyProtection="1">
      <alignment horizontal="center" vertical="center"/>
    </xf>
    <xf numFmtId="0" fontId="15" fillId="0" borderId="55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428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5" fillId="0" borderId="405" xfId="0" applyFont="1" applyFill="1" applyBorder="1" applyAlignment="1">
      <alignment horizontal="center" vertical="center"/>
    </xf>
    <xf numFmtId="0" fontId="15" fillId="0" borderId="553" xfId="0" applyFont="1" applyFill="1" applyBorder="1" applyAlignment="1">
      <alignment horizontal="center" vertical="center"/>
    </xf>
    <xf numFmtId="0" fontId="15" fillId="0" borderId="552" xfId="0" applyFont="1" applyFill="1" applyBorder="1" applyAlignment="1">
      <alignment horizontal="center" vertical="center"/>
    </xf>
    <xf numFmtId="0" fontId="16" fillId="0" borderId="550" xfId="0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center" vertical="center"/>
    </xf>
    <xf numFmtId="0" fontId="15" fillId="0" borderId="447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center" vertical="center"/>
    </xf>
    <xf numFmtId="0" fontId="16" fillId="0" borderId="546" xfId="0" applyFont="1" applyFill="1" applyBorder="1" applyAlignment="1">
      <alignment horizontal="center" vertical="center"/>
    </xf>
    <xf numFmtId="0" fontId="16" fillId="0" borderId="547" xfId="0" applyFont="1" applyFill="1" applyBorder="1" applyAlignment="1">
      <alignment horizontal="center" vertical="center"/>
    </xf>
    <xf numFmtId="0" fontId="16" fillId="0" borderId="556" xfId="0" applyFont="1" applyFill="1" applyBorder="1" applyAlignment="1">
      <alignment horizontal="center" vertical="center"/>
    </xf>
    <xf numFmtId="0" fontId="16" fillId="0" borderId="180" xfId="0" applyFont="1" applyFill="1" applyBorder="1" applyAlignment="1">
      <alignment horizontal="center" vertical="center"/>
    </xf>
    <xf numFmtId="0" fontId="16" fillId="0" borderId="554" xfId="0" applyFont="1" applyFill="1" applyBorder="1" applyAlignment="1">
      <alignment horizontal="center" vertical="center"/>
    </xf>
    <xf numFmtId="0" fontId="75" fillId="0" borderId="20" xfId="0" applyFont="1" applyBorder="1" applyAlignment="1">
      <alignment horizontal="right"/>
    </xf>
    <xf numFmtId="0" fontId="75" fillId="0" borderId="21" xfId="0" applyFont="1" applyBorder="1" applyAlignment="1">
      <alignment horizontal="right"/>
    </xf>
    <xf numFmtId="0" fontId="75" fillId="0" borderId="315" xfId="0" applyFont="1" applyBorder="1" applyAlignment="1">
      <alignment horizontal="right"/>
    </xf>
    <xf numFmtId="0" fontId="15" fillId="23" borderId="551" xfId="0" applyFont="1" applyFill="1" applyBorder="1" applyAlignment="1">
      <alignment horizontal="center" vertical="center"/>
    </xf>
    <xf numFmtId="0" fontId="15" fillId="23" borderId="175" xfId="0" applyFont="1" applyFill="1" applyBorder="1" applyAlignment="1">
      <alignment horizontal="center" vertical="center"/>
    </xf>
    <xf numFmtId="0" fontId="16" fillId="23" borderId="550" xfId="0" applyFont="1" applyFill="1" applyBorder="1" applyAlignment="1">
      <alignment horizontal="center" vertical="center"/>
    </xf>
    <xf numFmtId="0" fontId="16" fillId="23" borderId="179" xfId="0" applyFont="1" applyFill="1" applyBorder="1" applyAlignment="1">
      <alignment horizontal="center" vertical="center"/>
    </xf>
    <xf numFmtId="0" fontId="16" fillId="23" borderId="447" xfId="0" applyFont="1" applyFill="1" applyBorder="1" applyAlignment="1">
      <alignment horizontal="center" vertical="center"/>
    </xf>
    <xf numFmtId="0" fontId="16" fillId="23" borderId="174" xfId="0" applyFont="1" applyFill="1" applyBorder="1" applyAlignment="1">
      <alignment horizontal="center" vertical="center"/>
    </xf>
    <xf numFmtId="0" fontId="16" fillId="23" borderId="555" xfId="0" applyFont="1" applyFill="1" applyBorder="1" applyAlignment="1">
      <alignment horizontal="center" vertical="center"/>
    </xf>
    <xf numFmtId="0" fontId="16" fillId="23" borderId="243" xfId="0" applyFont="1" applyFill="1" applyBorder="1" applyAlignment="1">
      <alignment horizontal="center" vertical="center"/>
    </xf>
    <xf numFmtId="0" fontId="15" fillId="23" borderId="550" xfId="0" applyFont="1" applyFill="1" applyBorder="1" applyAlignment="1">
      <alignment horizontal="center" vertical="center"/>
    </xf>
    <xf numFmtId="0" fontId="15" fillId="23" borderId="179" xfId="0" applyFont="1" applyFill="1" applyBorder="1" applyAlignment="1">
      <alignment horizontal="center" vertical="center"/>
    </xf>
    <xf numFmtId="0" fontId="15" fillId="23" borderId="447" xfId="0" applyFont="1" applyFill="1" applyBorder="1" applyAlignment="1">
      <alignment horizontal="center" vertical="center"/>
    </xf>
    <xf numFmtId="0" fontId="15" fillId="23" borderId="174" xfId="0" applyFont="1" applyFill="1" applyBorder="1" applyAlignment="1">
      <alignment horizontal="center" vertical="center"/>
    </xf>
    <xf numFmtId="0" fontId="15" fillId="0" borderId="546" xfId="0" applyFont="1" applyFill="1" applyBorder="1" applyAlignment="1">
      <alignment horizontal="center" vertical="center"/>
    </xf>
    <xf numFmtId="0" fontId="15" fillId="0" borderId="172" xfId="0" applyFont="1" applyFill="1" applyBorder="1" applyAlignment="1">
      <alignment horizontal="center" vertical="center"/>
    </xf>
    <xf numFmtId="0" fontId="15" fillId="0" borderId="547" xfId="0" applyFont="1" applyFill="1" applyBorder="1" applyAlignment="1">
      <alignment horizontal="center" vertical="center"/>
    </xf>
    <xf numFmtId="0" fontId="16" fillId="0" borderId="594" xfId="0" applyFont="1" applyFill="1" applyBorder="1" applyAlignment="1" applyProtection="1">
      <alignment horizontal="center" vertical="center"/>
    </xf>
    <xf numFmtId="0" fontId="16" fillId="0" borderId="585" xfId="0" applyFont="1" applyFill="1" applyBorder="1" applyAlignment="1" applyProtection="1">
      <alignment horizontal="center" vertical="center"/>
    </xf>
    <xf numFmtId="0" fontId="16" fillId="0" borderId="588" xfId="0" applyFont="1" applyFill="1" applyBorder="1" applyAlignment="1" applyProtection="1">
      <alignment horizontal="center" vertical="center"/>
    </xf>
    <xf numFmtId="0" fontId="16" fillId="0" borderId="595" xfId="0" applyFont="1" applyFill="1" applyBorder="1" applyAlignment="1" applyProtection="1">
      <alignment horizontal="center" vertical="center"/>
    </xf>
    <xf numFmtId="0" fontId="16" fillId="0" borderId="586" xfId="0" applyFont="1" applyFill="1" applyBorder="1" applyAlignment="1" applyProtection="1">
      <alignment horizontal="center" vertical="center"/>
    </xf>
    <xf numFmtId="0" fontId="16" fillId="0" borderId="589" xfId="0" applyFont="1" applyFill="1" applyBorder="1" applyAlignment="1" applyProtection="1">
      <alignment horizontal="center" vertical="center"/>
    </xf>
    <xf numFmtId="0" fontId="16" fillId="0" borderId="596" xfId="0" applyFont="1" applyFill="1" applyBorder="1" applyAlignment="1" applyProtection="1">
      <alignment horizontal="center" vertical="center"/>
    </xf>
    <xf numFmtId="0" fontId="16" fillId="0" borderId="587" xfId="0" applyFont="1" applyFill="1" applyBorder="1" applyAlignment="1" applyProtection="1">
      <alignment horizontal="center" vertical="center"/>
    </xf>
    <xf numFmtId="0" fontId="16" fillId="0" borderId="590" xfId="0" applyFont="1" applyFill="1" applyBorder="1" applyAlignment="1" applyProtection="1">
      <alignment horizontal="center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8" xfId="0" applyFont="1" applyFill="1" applyBorder="1" applyAlignment="1">
      <alignment horizontal="center" vertical="center"/>
    </xf>
    <xf numFmtId="0" fontId="16" fillId="0" borderId="170" xfId="0" applyFont="1" applyFill="1" applyBorder="1" applyAlignment="1">
      <alignment horizontal="center" vertical="center"/>
    </xf>
    <xf numFmtId="0" fontId="16" fillId="23" borderId="591" xfId="0" applyFont="1" applyFill="1" applyBorder="1" applyAlignment="1" applyProtection="1">
      <alignment horizontal="center" vertical="center"/>
    </xf>
    <xf numFmtId="0" fontId="16" fillId="23" borderId="592" xfId="0" applyFont="1" applyFill="1" applyBorder="1" applyAlignment="1" applyProtection="1">
      <alignment horizontal="center" vertical="center"/>
    </xf>
    <xf numFmtId="0" fontId="16" fillId="23" borderId="593" xfId="0" applyFont="1" applyFill="1" applyBorder="1" applyAlignment="1" applyProtection="1">
      <alignment horizontal="center" vertical="center"/>
    </xf>
    <xf numFmtId="0" fontId="15" fillId="0" borderId="595" xfId="0" applyFont="1" applyFill="1" applyBorder="1" applyAlignment="1">
      <alignment horizontal="center" vertical="center"/>
    </xf>
    <xf numFmtId="0" fontId="15" fillId="0" borderId="586" xfId="0" applyFont="1" applyFill="1" applyBorder="1" applyAlignment="1">
      <alignment horizontal="center" vertical="center"/>
    </xf>
    <xf numFmtId="0" fontId="15" fillId="0" borderId="589" xfId="0" applyFont="1" applyFill="1" applyBorder="1" applyAlignment="1">
      <alignment horizontal="center" vertical="center"/>
    </xf>
    <xf numFmtId="0" fontId="16" fillId="0" borderId="595" xfId="0" applyFont="1" applyFill="1" applyBorder="1" applyAlignment="1">
      <alignment horizontal="center" vertical="center"/>
    </xf>
    <xf numFmtId="0" fontId="16" fillId="0" borderId="586" xfId="0" applyFont="1" applyFill="1" applyBorder="1" applyAlignment="1">
      <alignment horizontal="center" vertical="center"/>
    </xf>
    <xf numFmtId="0" fontId="16" fillId="0" borderId="589" xfId="0" applyFont="1" applyFill="1" applyBorder="1" applyAlignment="1">
      <alignment horizontal="center" vertical="center"/>
    </xf>
    <xf numFmtId="0" fontId="15" fillId="0" borderId="596" xfId="0" applyFont="1" applyFill="1" applyBorder="1" applyAlignment="1">
      <alignment horizontal="center" vertical="center"/>
    </xf>
    <xf numFmtId="0" fontId="15" fillId="0" borderId="587" xfId="0" applyFont="1" applyFill="1" applyBorder="1" applyAlignment="1">
      <alignment horizontal="center" vertical="center"/>
    </xf>
    <xf numFmtId="0" fontId="15" fillId="0" borderId="590" xfId="0" applyFont="1" applyFill="1" applyBorder="1" applyAlignment="1">
      <alignment horizontal="center" vertical="center"/>
    </xf>
    <xf numFmtId="0" fontId="16" fillId="0" borderId="594" xfId="0" applyFont="1" applyFill="1" applyBorder="1" applyAlignment="1">
      <alignment horizontal="center" vertical="center"/>
    </xf>
    <xf numFmtId="0" fontId="16" fillId="0" borderId="585" xfId="0" applyFont="1" applyFill="1" applyBorder="1" applyAlignment="1">
      <alignment horizontal="center" vertical="center"/>
    </xf>
    <xf numFmtId="0" fontId="16" fillId="0" borderId="588" xfId="0" applyFont="1" applyFill="1" applyBorder="1" applyAlignment="1">
      <alignment horizontal="center" vertical="center"/>
    </xf>
    <xf numFmtId="0" fontId="90" fillId="0" borderId="595" xfId="0" applyFont="1" applyFill="1" applyBorder="1" applyAlignment="1">
      <alignment horizontal="center" vertical="center"/>
    </xf>
    <xf numFmtId="0" fontId="90" fillId="0" borderId="586" xfId="0" applyFont="1" applyFill="1" applyBorder="1" applyAlignment="1">
      <alignment horizontal="center" vertical="center"/>
    </xf>
    <xf numFmtId="0" fontId="90" fillId="0" borderId="589" xfId="0" applyFont="1" applyFill="1" applyBorder="1" applyAlignment="1">
      <alignment horizontal="center" vertical="center"/>
    </xf>
    <xf numFmtId="0" fontId="46" fillId="9" borderId="407" xfId="0" applyFont="1" applyFill="1" applyBorder="1" applyAlignment="1">
      <alignment horizontal="left"/>
    </xf>
    <xf numFmtId="0" fontId="16" fillId="2" borderId="544" xfId="0" applyFont="1" applyFill="1" applyBorder="1" applyAlignment="1">
      <alignment horizontal="center" vertical="center"/>
    </xf>
    <xf numFmtId="0" fontId="23" fillId="2" borderId="119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16" fillId="0" borderId="582" xfId="0" applyFont="1" applyFill="1" applyBorder="1" applyAlignment="1" applyProtection="1">
      <alignment horizontal="center" vertical="center"/>
    </xf>
    <xf numFmtId="0" fontId="16" fillId="0" borderId="583" xfId="0" applyFont="1" applyFill="1" applyBorder="1" applyAlignment="1" applyProtection="1">
      <alignment horizontal="center" vertical="center"/>
    </xf>
    <xf numFmtId="0" fontId="16" fillId="0" borderId="584" xfId="0" applyFont="1" applyFill="1" applyBorder="1" applyAlignment="1" applyProtection="1">
      <alignment horizontal="center" vertical="center"/>
    </xf>
    <xf numFmtId="0" fontId="46" fillId="9" borderId="266" xfId="0" applyFont="1" applyFill="1" applyBorder="1" applyAlignment="1">
      <alignment horizontal="left"/>
    </xf>
    <xf numFmtId="0" fontId="46" fillId="9" borderId="326" xfId="0" applyFont="1" applyFill="1" applyBorder="1" applyAlignment="1">
      <alignment horizontal="left"/>
    </xf>
    <xf numFmtId="0" fontId="43" fillId="0" borderId="19" xfId="3" applyFont="1" applyFill="1" applyBorder="1" applyAlignment="1" applyProtection="1">
      <alignment horizontal="right" vertical="center"/>
    </xf>
    <xf numFmtId="0" fontId="43" fillId="0" borderId="76" xfId="3" applyFont="1" applyFill="1" applyBorder="1" applyAlignment="1" applyProtection="1">
      <alignment horizontal="right" vertical="center"/>
    </xf>
    <xf numFmtId="0" fontId="43" fillId="0" borderId="96" xfId="3" applyFont="1" applyFill="1" applyBorder="1" applyAlignment="1" applyProtection="1">
      <alignment horizontal="right" vertical="center"/>
    </xf>
    <xf numFmtId="0" fontId="96" fillId="10" borderId="20" xfId="3" applyNumberFormat="1" applyFont="1" applyFill="1" applyBorder="1" applyAlignment="1" applyProtection="1">
      <alignment horizontal="right"/>
    </xf>
    <xf numFmtId="0" fontId="96" fillId="10" borderId="21" xfId="3" applyNumberFormat="1" applyFont="1" applyFill="1" applyBorder="1" applyAlignment="1" applyProtection="1">
      <alignment horizontal="right"/>
    </xf>
    <xf numFmtId="0" fontId="96" fillId="10" borderId="55" xfId="3" applyNumberFormat="1" applyFont="1" applyFill="1" applyBorder="1" applyAlignment="1" applyProtection="1">
      <alignment horizontal="right"/>
    </xf>
    <xf numFmtId="0" fontId="96" fillId="10" borderId="22" xfId="3" applyNumberFormat="1" applyFont="1" applyFill="1" applyBorder="1" applyAlignment="1" applyProtection="1">
      <alignment horizontal="right"/>
    </xf>
    <xf numFmtId="0" fontId="96" fillId="10" borderId="0" xfId="3" applyNumberFormat="1" applyFont="1" applyFill="1" applyBorder="1" applyAlignment="1" applyProtection="1">
      <alignment horizontal="right"/>
    </xf>
    <xf numFmtId="0" fontId="96" fillId="10" borderId="23" xfId="3" applyNumberFormat="1" applyFont="1" applyFill="1" applyBorder="1" applyAlignment="1" applyProtection="1">
      <alignment horizontal="right"/>
    </xf>
    <xf numFmtId="0" fontId="96" fillId="10" borderId="25" xfId="3" applyNumberFormat="1" applyFont="1" applyFill="1" applyBorder="1" applyAlignment="1" applyProtection="1">
      <alignment horizontal="right"/>
    </xf>
    <xf numFmtId="0" fontId="96" fillId="10" borderId="26" xfId="3" applyNumberFormat="1" applyFont="1" applyFill="1" applyBorder="1" applyAlignment="1" applyProtection="1">
      <alignment horizontal="right"/>
    </xf>
    <xf numFmtId="0" fontId="96" fillId="10" borderId="27" xfId="3" applyNumberFormat="1" applyFont="1" applyFill="1" applyBorder="1" applyAlignment="1" applyProtection="1">
      <alignment horizontal="right"/>
    </xf>
    <xf numFmtId="0" fontId="11" fillId="10" borderId="20" xfId="3" applyNumberFormat="1" applyFont="1" applyFill="1" applyBorder="1" applyAlignment="1" applyProtection="1">
      <alignment horizontal="center" vertical="center"/>
    </xf>
    <xf numFmtId="0" fontId="11" fillId="10" borderId="21" xfId="3" applyNumberFormat="1" applyFont="1" applyFill="1" applyBorder="1" applyAlignment="1" applyProtection="1">
      <alignment horizontal="center" vertical="center"/>
    </xf>
    <xf numFmtId="0" fontId="11" fillId="10" borderId="55" xfId="3" applyNumberFormat="1" applyFont="1" applyFill="1" applyBorder="1" applyAlignment="1" applyProtection="1">
      <alignment horizontal="center" vertical="center"/>
    </xf>
    <xf numFmtId="0" fontId="11" fillId="10" borderId="22" xfId="3" applyNumberFormat="1" applyFont="1" applyFill="1" applyBorder="1" applyAlignment="1" applyProtection="1">
      <alignment horizontal="center" vertical="center"/>
    </xf>
    <xf numFmtId="0" fontId="11" fillId="10" borderId="0" xfId="3" applyNumberFormat="1" applyFont="1" applyFill="1" applyBorder="1" applyAlignment="1" applyProtection="1">
      <alignment horizontal="center" vertical="center"/>
    </xf>
    <xf numFmtId="0" fontId="11" fillId="10" borderId="23" xfId="3" applyNumberFormat="1" applyFont="1" applyFill="1" applyBorder="1" applyAlignment="1" applyProtection="1">
      <alignment horizontal="center" vertical="center"/>
    </xf>
    <xf numFmtId="0" fontId="11" fillId="10" borderId="25" xfId="3" applyNumberFormat="1" applyFont="1" applyFill="1" applyBorder="1" applyAlignment="1" applyProtection="1">
      <alignment horizontal="center" vertical="center"/>
    </xf>
    <xf numFmtId="0" fontId="11" fillId="10" borderId="26" xfId="3" applyNumberFormat="1" applyFont="1" applyFill="1" applyBorder="1" applyAlignment="1" applyProtection="1">
      <alignment horizontal="center" vertical="center"/>
    </xf>
    <xf numFmtId="0" fontId="11" fillId="10" borderId="27" xfId="3" applyNumberFormat="1" applyFont="1" applyFill="1" applyBorder="1" applyAlignment="1" applyProtection="1">
      <alignment horizontal="center" vertical="center"/>
    </xf>
    <xf numFmtId="0" fontId="16" fillId="2" borderId="127" xfId="3" applyFont="1" applyFill="1" applyBorder="1" applyAlignment="1" applyProtection="1">
      <alignment horizontal="center" vertical="center"/>
    </xf>
    <xf numFmtId="0" fontId="16" fillId="2" borderId="128" xfId="3" applyFont="1" applyFill="1" applyBorder="1" applyAlignment="1" applyProtection="1">
      <alignment horizontal="center" vertical="center"/>
    </xf>
    <xf numFmtId="0" fontId="16" fillId="2" borderId="138" xfId="3" applyFont="1" applyFill="1" applyBorder="1" applyAlignment="1" applyProtection="1">
      <alignment horizontal="center" vertical="center"/>
    </xf>
    <xf numFmtId="0" fontId="16" fillId="2" borderId="127" xfId="3" applyFont="1" applyFill="1" applyBorder="1" applyAlignment="1" applyProtection="1">
      <alignment horizontal="center" vertical="center" textRotation="90"/>
    </xf>
    <xf numFmtId="0" fontId="16" fillId="2" borderId="128" xfId="3" applyFont="1" applyFill="1" applyBorder="1" applyAlignment="1" applyProtection="1">
      <alignment horizontal="center" vertical="center" textRotation="90"/>
    </xf>
    <xf numFmtId="0" fontId="16" fillId="2" borderId="138" xfId="3" applyFont="1" applyFill="1" applyBorder="1" applyAlignment="1" applyProtection="1">
      <alignment horizontal="center" vertical="center" textRotation="90"/>
    </xf>
    <xf numFmtId="0" fontId="16" fillId="0" borderId="7" xfId="3" applyFont="1" applyFill="1" applyBorder="1" applyAlignment="1" applyProtection="1">
      <alignment horizontal="right" vertical="center"/>
    </xf>
    <xf numFmtId="0" fontId="16" fillId="0" borderId="1" xfId="3" applyFont="1" applyFill="1" applyBorder="1" applyAlignment="1" applyProtection="1">
      <alignment horizontal="right" vertical="center"/>
    </xf>
    <xf numFmtId="0" fontId="16" fillId="0" borderId="93" xfId="3" applyFont="1" applyFill="1" applyBorder="1" applyAlignment="1" applyProtection="1">
      <alignment horizontal="right" vertical="center"/>
    </xf>
    <xf numFmtId="0" fontId="4" fillId="0" borderId="20" xfId="3" applyBorder="1" applyAlignment="1">
      <alignment horizontal="center"/>
    </xf>
    <xf numFmtId="0" fontId="4" fillId="0" borderId="21" xfId="3" applyBorder="1" applyAlignment="1">
      <alignment horizontal="center"/>
    </xf>
    <xf numFmtId="0" fontId="4" fillId="0" borderId="55" xfId="3" applyBorder="1" applyAlignment="1">
      <alignment horizontal="center"/>
    </xf>
    <xf numFmtId="0" fontId="4" fillId="0" borderId="22" xfId="3" applyBorder="1" applyAlignment="1">
      <alignment horizontal="center"/>
    </xf>
    <xf numFmtId="0" fontId="4" fillId="0" borderId="0" xfId="3" applyBorder="1" applyAlignment="1">
      <alignment horizontal="center"/>
    </xf>
    <xf numFmtId="0" fontId="4" fillId="0" borderId="23" xfId="3" applyBorder="1" applyAlignment="1">
      <alignment horizontal="center"/>
    </xf>
    <xf numFmtId="0" fontId="4" fillId="0" borderId="25" xfId="3" applyBorder="1" applyAlignment="1">
      <alignment horizontal="center"/>
    </xf>
    <xf numFmtId="0" fontId="4" fillId="0" borderId="26" xfId="3" applyBorder="1" applyAlignment="1">
      <alignment horizontal="center"/>
    </xf>
    <xf numFmtId="0" fontId="4" fillId="0" borderId="27" xfId="3" applyBorder="1" applyAlignment="1">
      <alignment horizontal="center"/>
    </xf>
    <xf numFmtId="0" fontId="13" fillId="2" borderId="544" xfId="3" applyFont="1" applyFill="1" applyBorder="1" applyAlignment="1" applyProtection="1">
      <alignment horizontal="center" vertical="center"/>
    </xf>
    <xf numFmtId="0" fontId="13" fillId="2" borderId="545" xfId="3" applyFont="1" applyFill="1" applyBorder="1" applyAlignment="1" applyProtection="1">
      <alignment horizontal="center" vertical="center"/>
    </xf>
    <xf numFmtId="0" fontId="43" fillId="0" borderId="7" xfId="3" applyFont="1" applyFill="1" applyBorder="1" applyAlignment="1" applyProtection="1">
      <alignment horizontal="right" vertical="center"/>
    </xf>
    <xf numFmtId="0" fontId="43" fillId="0" borderId="1" xfId="3" applyFont="1" applyFill="1" applyBorder="1" applyAlignment="1" applyProtection="1">
      <alignment horizontal="right" vertical="center"/>
    </xf>
    <xf numFmtId="0" fontId="43" fillId="0" borderId="93" xfId="3" applyFont="1" applyFill="1" applyBorder="1" applyAlignment="1" applyProtection="1">
      <alignment horizontal="right" vertical="center"/>
    </xf>
    <xf numFmtId="0" fontId="21" fillId="8" borderId="1" xfId="3" applyFont="1" applyFill="1" applyBorder="1" applyAlignment="1">
      <alignment horizontal="center"/>
    </xf>
    <xf numFmtId="0" fontId="16" fillId="2" borderId="6" xfId="3" applyFont="1" applyFill="1" applyBorder="1" applyAlignment="1" applyProtection="1">
      <alignment horizontal="center" vertical="center"/>
    </xf>
    <xf numFmtId="0" fontId="16" fillId="2" borderId="22" xfId="3" applyFont="1" applyFill="1" applyBorder="1" applyAlignment="1" applyProtection="1">
      <alignment horizontal="center" vertical="center"/>
    </xf>
    <xf numFmtId="0" fontId="21" fillId="8" borderId="7" xfId="3" applyFont="1" applyFill="1" applyBorder="1" applyAlignment="1">
      <alignment horizontal="center"/>
    </xf>
    <xf numFmtId="0" fontId="16" fillId="2" borderId="11" xfId="3" applyFont="1" applyFill="1" applyBorder="1" applyAlignment="1" applyProtection="1">
      <alignment horizontal="center" vertical="center"/>
    </xf>
    <xf numFmtId="0" fontId="16" fillId="2" borderId="25" xfId="3" applyFont="1" applyFill="1" applyBorder="1" applyAlignment="1" applyProtection="1">
      <alignment horizontal="center" vertical="center"/>
    </xf>
    <xf numFmtId="0" fontId="13" fillId="7" borderId="25" xfId="3" applyFont="1" applyFill="1" applyBorder="1" applyAlignment="1" applyProtection="1">
      <alignment horizontal="center" vertical="center"/>
    </xf>
    <xf numFmtId="0" fontId="13" fillId="7" borderId="27" xfId="3" applyFont="1" applyFill="1" applyBorder="1" applyAlignment="1" applyProtection="1">
      <alignment horizontal="center" vertical="center"/>
    </xf>
    <xf numFmtId="0" fontId="46" fillId="9" borderId="124" xfId="3" applyFont="1" applyFill="1" applyBorder="1" applyAlignment="1">
      <alignment horizontal="left"/>
    </xf>
    <xf numFmtId="0" fontId="46" fillId="9" borderId="120" xfId="3" applyFont="1" applyFill="1" applyBorder="1" applyAlignment="1">
      <alignment horizontal="left"/>
    </xf>
    <xf numFmtId="0" fontId="46" fillId="9" borderId="56" xfId="3" applyFont="1" applyFill="1" applyBorder="1" applyAlignment="1">
      <alignment horizontal="left"/>
    </xf>
    <xf numFmtId="0" fontId="75" fillId="9" borderId="124" xfId="3" applyFont="1" applyFill="1" applyBorder="1" applyAlignment="1">
      <alignment horizontal="left"/>
    </xf>
    <xf numFmtId="0" fontId="75" fillId="9" borderId="120" xfId="3" applyFont="1" applyFill="1" applyBorder="1" applyAlignment="1">
      <alignment horizontal="left"/>
    </xf>
    <xf numFmtId="0" fontId="75" fillId="9" borderId="56" xfId="3" applyFont="1" applyFill="1" applyBorder="1" applyAlignment="1">
      <alignment horizontal="left"/>
    </xf>
    <xf numFmtId="0" fontId="16" fillId="2" borderId="218" xfId="3" applyFont="1" applyFill="1" applyBorder="1" applyAlignment="1" applyProtection="1">
      <alignment horizontal="center" vertical="center"/>
    </xf>
    <xf numFmtId="0" fontId="21" fillId="8" borderId="93" xfId="3" applyFont="1" applyFill="1" applyBorder="1" applyAlignment="1">
      <alignment horizontal="center"/>
    </xf>
    <xf numFmtId="0" fontId="16" fillId="8" borderId="603" xfId="0" applyFont="1" applyFill="1" applyBorder="1" applyAlignment="1">
      <alignment horizontal="right" vertical="center"/>
    </xf>
    <xf numFmtId="0" fontId="16" fillId="8" borderId="327" xfId="0" applyFont="1" applyFill="1" applyBorder="1" applyAlignment="1">
      <alignment horizontal="right" vertical="center"/>
    </xf>
    <xf numFmtId="0" fontId="92" fillId="8" borderId="173" xfId="0" applyFont="1" applyFill="1" applyBorder="1" applyAlignment="1">
      <alignment horizontal="right" vertical="center"/>
    </xf>
    <xf numFmtId="0" fontId="92" fillId="8" borderId="603" xfId="0" applyFont="1" applyFill="1" applyBorder="1" applyAlignment="1">
      <alignment horizontal="right" vertical="center"/>
    </xf>
    <xf numFmtId="0" fontId="92" fillId="8" borderId="327" xfId="0" applyFont="1" applyFill="1" applyBorder="1" applyAlignment="1">
      <alignment horizontal="right" vertical="center"/>
    </xf>
    <xf numFmtId="0" fontId="92" fillId="8" borderId="328" xfId="0" applyFont="1" applyFill="1" applyBorder="1" applyAlignment="1">
      <alignment horizontal="right" vertical="center"/>
    </xf>
    <xf numFmtId="0" fontId="16" fillId="8" borderId="605" xfId="0" applyFont="1" applyFill="1" applyBorder="1" applyAlignment="1">
      <alignment horizontal="right" vertical="center"/>
    </xf>
    <xf numFmtId="0" fontId="16" fillId="8" borderId="332" xfId="0" applyFont="1" applyFill="1" applyBorder="1" applyAlignment="1">
      <alignment horizontal="right" vertical="center"/>
    </xf>
    <xf numFmtId="0" fontId="16" fillId="8" borderId="606" xfId="0" applyFont="1" applyFill="1" applyBorder="1" applyAlignment="1">
      <alignment horizontal="right" vertical="center"/>
    </xf>
    <xf numFmtId="0" fontId="16" fillId="8" borderId="346" xfId="0" applyFont="1" applyFill="1" applyBorder="1" applyAlignment="1">
      <alignment horizontal="right" vertical="center"/>
    </xf>
    <xf numFmtId="0" fontId="16" fillId="8" borderId="598" xfId="0" applyFont="1" applyFill="1" applyBorder="1" applyAlignment="1">
      <alignment horizontal="right" vertical="center"/>
    </xf>
    <xf numFmtId="0" fontId="16" fillId="8" borderId="173" xfId="0" applyFont="1" applyFill="1" applyBorder="1" applyAlignment="1">
      <alignment horizontal="right" vertical="center"/>
    </xf>
    <xf numFmtId="0" fontId="19" fillId="10" borderId="31" xfId="0" applyFont="1" applyFill="1" applyBorder="1" applyAlignment="1">
      <alignment horizontal="center" vertical="center"/>
    </xf>
    <xf numFmtId="0" fontId="19" fillId="10" borderId="562" xfId="0" applyFont="1" applyFill="1" applyBorder="1" applyAlignment="1">
      <alignment horizontal="center" vertical="center"/>
    </xf>
    <xf numFmtId="0" fontId="19" fillId="3" borderId="336" xfId="0" applyFont="1" applyFill="1" applyBorder="1" applyAlignment="1">
      <alignment horizontal="center" vertical="center"/>
    </xf>
    <xf numFmtId="0" fontId="19" fillId="3" borderId="563" xfId="0" applyFont="1" applyFill="1" applyBorder="1" applyAlignment="1">
      <alignment horizontal="center" vertical="center"/>
    </xf>
    <xf numFmtId="0" fontId="91" fillId="0" borderId="609" xfId="0" applyFont="1" applyBorder="1" applyAlignment="1">
      <alignment horizontal="center"/>
    </xf>
    <xf numFmtId="0" fontId="91" fillId="0" borderId="601" xfId="0" applyFont="1" applyBorder="1" applyAlignment="1">
      <alignment horizontal="center"/>
    </xf>
    <xf numFmtId="0" fontId="91" fillId="0" borderId="602" xfId="0" applyFont="1" applyBorder="1" applyAlignment="1">
      <alignment horizontal="center"/>
    </xf>
    <xf numFmtId="0" fontId="91" fillId="9" borderId="610" xfId="0" applyFont="1" applyFill="1" applyBorder="1" applyAlignment="1">
      <alignment horizontal="center"/>
    </xf>
    <xf numFmtId="0" fontId="91" fillId="9" borderId="276" xfId="0" applyFont="1" applyFill="1" applyBorder="1" applyAlignment="1">
      <alignment horizontal="center"/>
    </xf>
    <xf numFmtId="0" fontId="91" fillId="9" borderId="518" xfId="0" applyFont="1" applyFill="1" applyBorder="1" applyAlignment="1">
      <alignment horizontal="center"/>
    </xf>
    <xf numFmtId="0" fontId="16" fillId="7" borderId="173" xfId="0" applyFont="1" applyFill="1" applyBorder="1" applyAlignment="1">
      <alignment horizontal="center"/>
    </xf>
    <xf numFmtId="0" fontId="16" fillId="7" borderId="16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334" xfId="0" applyFont="1" applyFill="1" applyBorder="1" applyAlignment="1">
      <alignment horizontal="center" vertical="center"/>
    </xf>
    <xf numFmtId="0" fontId="16" fillId="8" borderId="328" xfId="0" applyFont="1" applyFill="1" applyBorder="1" applyAlignment="1">
      <alignment horizontal="right" vertical="center"/>
    </xf>
    <xf numFmtId="0" fontId="92" fillId="8" borderId="173" xfId="0" applyFont="1" applyFill="1" applyBorder="1" applyAlignment="1">
      <alignment horizontal="right"/>
    </xf>
    <xf numFmtId="0" fontId="15" fillId="2" borderId="30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43" fillId="9" borderId="124" xfId="0" applyFont="1" applyFill="1" applyBorder="1" applyAlignment="1">
      <alignment horizontal="left" vertical="center"/>
    </xf>
    <xf numFmtId="0" fontId="43" fillId="9" borderId="120" xfId="0" applyFont="1" applyFill="1" applyBorder="1" applyAlignment="1">
      <alignment horizontal="left" vertical="center"/>
    </xf>
    <xf numFmtId="0" fontId="43" fillId="9" borderId="5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43" fillId="9" borderId="22" xfId="0" applyFont="1" applyFill="1" applyBorder="1" applyAlignment="1">
      <alignment horizontal="left" vertical="center"/>
    </xf>
    <xf numFmtId="0" fontId="43" fillId="9" borderId="0" xfId="0" applyFont="1" applyFill="1" applyBorder="1" applyAlignment="1">
      <alignment horizontal="left" vertical="center"/>
    </xf>
    <xf numFmtId="0" fontId="43" fillId="9" borderId="23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wrapText="1"/>
    </xf>
    <xf numFmtId="0" fontId="13" fillId="2" borderId="67" xfId="0" applyFont="1" applyFill="1" applyBorder="1" applyAlignment="1">
      <alignment horizontal="center" wrapText="1"/>
    </xf>
    <xf numFmtId="49" fontId="13" fillId="2" borderId="94" xfId="0" applyNumberFormat="1" applyFont="1" applyFill="1" applyBorder="1" applyAlignment="1">
      <alignment horizontal="center" wrapText="1"/>
    </xf>
    <xf numFmtId="49" fontId="13" fillId="2" borderId="45" xfId="0" applyNumberFormat="1" applyFont="1" applyFill="1" applyBorder="1" applyAlignment="1">
      <alignment horizontal="center" wrapText="1"/>
    </xf>
    <xf numFmtId="49" fontId="13" fillId="2" borderId="137" xfId="0" applyNumberFormat="1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137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wrapText="1"/>
    </xf>
    <xf numFmtId="0" fontId="13" fillId="2" borderId="60" xfId="0" applyFont="1" applyFill="1" applyBorder="1" applyAlignment="1">
      <alignment horizontal="center" wrapText="1"/>
    </xf>
    <xf numFmtId="0" fontId="56" fillId="2" borderId="46" xfId="0" applyFont="1" applyFill="1" applyBorder="1" applyAlignment="1">
      <alignment horizontal="center" wrapText="1"/>
    </xf>
    <xf numFmtId="0" fontId="56" fillId="2" borderId="6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6" fillId="2" borderId="218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15" fillId="2" borderId="282" xfId="0" applyFont="1" applyFill="1" applyBorder="1" applyAlignment="1">
      <alignment horizontal="center"/>
    </xf>
    <xf numFmtId="0" fontId="15" fillId="2" borderId="283" xfId="0" applyFont="1" applyFill="1" applyBorder="1" applyAlignment="1">
      <alignment horizontal="center"/>
    </xf>
    <xf numFmtId="0" fontId="43" fillId="9" borderId="125" xfId="0" applyFont="1" applyFill="1" applyBorder="1" applyAlignment="1">
      <alignment horizontal="left" vertical="center"/>
    </xf>
    <xf numFmtId="0" fontId="43" fillId="9" borderId="47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center"/>
    </xf>
    <xf numFmtId="0" fontId="76" fillId="4" borderId="23" xfId="0" applyFont="1" applyFill="1" applyBorder="1" applyAlignment="1">
      <alignment horizontal="center"/>
    </xf>
    <xf numFmtId="0" fontId="76" fillId="4" borderId="26" xfId="0" applyFont="1" applyFill="1" applyBorder="1" applyAlignment="1">
      <alignment horizontal="center"/>
    </xf>
    <xf numFmtId="0" fontId="76" fillId="4" borderId="27" xfId="0" applyFont="1" applyFill="1" applyBorder="1" applyAlignment="1">
      <alignment horizontal="center"/>
    </xf>
    <xf numFmtId="14" fontId="15" fillId="4" borderId="26" xfId="0" applyNumberFormat="1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15" fillId="2" borderId="22" xfId="0" applyFont="1" applyFill="1" applyBorder="1" applyAlignment="1">
      <alignment horizontal="center"/>
    </xf>
    <xf numFmtId="0" fontId="11" fillId="2" borderId="94" xfId="0" applyFont="1" applyFill="1" applyBorder="1" applyAlignment="1">
      <alignment horizontal="right"/>
    </xf>
    <xf numFmtId="0" fontId="11" fillId="2" borderId="45" xfId="0" applyFont="1" applyFill="1" applyBorder="1" applyAlignment="1">
      <alignment horizontal="right"/>
    </xf>
    <xf numFmtId="0" fontId="16" fillId="8" borderId="572" xfId="0" applyFont="1" applyFill="1" applyBorder="1" applyAlignment="1">
      <alignment horizontal="right" vertical="center"/>
    </xf>
    <xf numFmtId="0" fontId="16" fillId="8" borderId="607" xfId="0" applyFont="1" applyFill="1" applyBorder="1" applyAlignment="1">
      <alignment horizontal="right" vertical="center"/>
    </xf>
    <xf numFmtId="0" fontId="15" fillId="2" borderId="331" xfId="0" applyFont="1" applyFill="1" applyBorder="1" applyAlignment="1">
      <alignment horizontal="right" vertical="center"/>
    </xf>
    <xf numFmtId="0" fontId="15" fillId="2" borderId="332" xfId="0" applyFont="1" applyFill="1" applyBorder="1" applyAlignment="1">
      <alignment horizontal="right" vertical="center"/>
    </xf>
    <xf numFmtId="0" fontId="11" fillId="0" borderId="308" xfId="0" applyFont="1" applyFill="1" applyBorder="1" applyAlignment="1">
      <alignment horizontal="center" vertical="center" wrapText="1"/>
    </xf>
    <xf numFmtId="0" fontId="11" fillId="0" borderId="310" xfId="0" applyFont="1" applyFill="1" applyBorder="1" applyAlignment="1">
      <alignment horizontal="center" vertical="center" wrapText="1"/>
    </xf>
    <xf numFmtId="0" fontId="11" fillId="0" borderId="341" xfId="0" applyFont="1" applyFill="1" applyBorder="1" applyAlignment="1">
      <alignment horizontal="center" vertical="center" wrapText="1"/>
    </xf>
    <xf numFmtId="0" fontId="16" fillId="0" borderId="332" xfId="0" applyFont="1" applyFill="1" applyBorder="1" applyAlignment="1">
      <alignment horizontal="center" vertical="center"/>
    </xf>
    <xf numFmtId="0" fontId="16" fillId="0" borderId="333" xfId="0" applyFont="1" applyFill="1" applyBorder="1" applyAlignment="1">
      <alignment horizontal="center" vertical="center"/>
    </xf>
    <xf numFmtId="0" fontId="15" fillId="8" borderId="340" xfId="0" applyFont="1" applyFill="1" applyBorder="1" applyAlignment="1">
      <alignment horizontal="center" vertical="center" wrapText="1"/>
    </xf>
    <xf numFmtId="0" fontId="15" fillId="8" borderId="310" xfId="0" applyFont="1" applyFill="1" applyBorder="1" applyAlignment="1">
      <alignment horizontal="center" vertical="center" wrapText="1"/>
    </xf>
    <xf numFmtId="0" fontId="15" fillId="8" borderId="309" xfId="0" applyFont="1" applyFill="1" applyBorder="1" applyAlignment="1">
      <alignment horizontal="center" vertical="center" wrapText="1"/>
    </xf>
    <xf numFmtId="0" fontId="43" fillId="9" borderId="345" xfId="0" applyFont="1" applyFill="1" applyBorder="1" applyAlignment="1">
      <alignment horizontal="center" vertical="center"/>
    </xf>
    <xf numFmtId="0" fontId="43" fillId="9" borderId="346" xfId="0" applyFont="1" applyFill="1" applyBorder="1" applyAlignment="1">
      <alignment horizontal="center" vertical="center"/>
    </xf>
    <xf numFmtId="0" fontId="43" fillId="9" borderId="347" xfId="0" applyFont="1" applyFill="1" applyBorder="1" applyAlignment="1">
      <alignment horizontal="center" vertical="center"/>
    </xf>
    <xf numFmtId="0" fontId="16" fillId="8" borderId="339" xfId="0" applyFont="1" applyFill="1" applyBorder="1" applyAlignment="1">
      <alignment horizontal="right" vertical="center"/>
    </xf>
    <xf numFmtId="0" fontId="15" fillId="8" borderId="342" xfId="0" applyFont="1" applyFill="1" applyBorder="1" applyAlignment="1">
      <alignment horizontal="center" vertical="center" wrapText="1"/>
    </xf>
    <xf numFmtId="0" fontId="15" fillId="8" borderId="343" xfId="0" applyFont="1" applyFill="1" applyBorder="1" applyAlignment="1">
      <alignment horizontal="center" vertical="center" wrapText="1"/>
    </xf>
    <xf numFmtId="0" fontId="15" fillId="8" borderId="344" xfId="0" applyFont="1" applyFill="1" applyBorder="1" applyAlignment="1">
      <alignment horizontal="center" vertical="center" wrapText="1"/>
    </xf>
    <xf numFmtId="0" fontId="91" fillId="0" borderId="22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9" fillId="0" borderId="578" xfId="0" applyFont="1" applyFill="1" applyBorder="1" applyAlignment="1">
      <alignment horizontal="center"/>
    </xf>
    <xf numFmtId="0" fontId="99" fillId="0" borderId="579" xfId="0" applyFont="1" applyFill="1" applyBorder="1" applyAlignment="1">
      <alignment horizontal="center"/>
    </xf>
    <xf numFmtId="0" fontId="99" fillId="12" borderId="578" xfId="0" applyFont="1" applyFill="1" applyBorder="1" applyAlignment="1">
      <alignment horizontal="center"/>
    </xf>
    <xf numFmtId="0" fontId="99" fillId="12" borderId="579" xfId="0" applyFont="1" applyFill="1" applyBorder="1" applyAlignment="1">
      <alignment horizontal="center"/>
    </xf>
    <xf numFmtId="0" fontId="97" fillId="0" borderId="124" xfId="0" applyFont="1" applyBorder="1" applyAlignment="1">
      <alignment horizontal="center"/>
    </xf>
    <xf numFmtId="0" fontId="97" fillId="0" borderId="120" xfId="0" applyFont="1" applyBorder="1" applyAlignment="1">
      <alignment horizontal="center"/>
    </xf>
    <xf numFmtId="0" fontId="97" fillId="0" borderId="56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6" fillId="14" borderId="139" xfId="0" applyFont="1" applyFill="1" applyBorder="1" applyAlignment="1">
      <alignment horizontal="center" vertical="center" wrapText="1"/>
    </xf>
    <xf numFmtId="0" fontId="16" fillId="14" borderId="53" xfId="0" applyFont="1" applyFill="1" applyBorder="1" applyAlignment="1">
      <alignment horizontal="center" vertical="center" wrapText="1"/>
    </xf>
    <xf numFmtId="0" fontId="99" fillId="0" borderId="576" xfId="0" applyFont="1" applyFill="1" applyBorder="1" applyAlignment="1">
      <alignment horizontal="center"/>
    </xf>
    <xf numFmtId="0" fontId="99" fillId="0" borderId="577" xfId="0" applyFont="1" applyFill="1" applyBorder="1" applyAlignment="1">
      <alignment horizontal="center"/>
    </xf>
    <xf numFmtId="0" fontId="99" fillId="12" borderId="580" xfId="0" applyFont="1" applyFill="1" applyBorder="1" applyAlignment="1">
      <alignment horizontal="center"/>
    </xf>
    <xf numFmtId="0" fontId="99" fillId="12" borderId="581" xfId="0" applyFont="1" applyFill="1" applyBorder="1" applyAlignment="1">
      <alignment horizontal="center"/>
    </xf>
    <xf numFmtId="0" fontId="80" fillId="9" borderId="0" xfId="0" applyFont="1" applyFill="1" applyBorder="1" applyAlignment="1">
      <alignment horizontal="left"/>
    </xf>
    <xf numFmtId="0" fontId="27" fillId="14" borderId="20" xfId="0" applyFont="1" applyFill="1" applyBorder="1" applyAlignment="1">
      <alignment horizontal="center"/>
    </xf>
    <xf numFmtId="0" fontId="27" fillId="14" borderId="21" xfId="0" applyFont="1" applyFill="1" applyBorder="1" applyAlignment="1">
      <alignment horizontal="center"/>
    </xf>
    <xf numFmtId="0" fontId="27" fillId="14" borderId="5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8" borderId="17" xfId="0" applyFont="1" applyFill="1" applyBorder="1" applyAlignment="1">
      <alignment horizontal="right"/>
    </xf>
    <xf numFmtId="0" fontId="13" fillId="8" borderId="46" xfId="0" applyFont="1" applyFill="1" applyBorder="1" applyAlignment="1">
      <alignment horizontal="right"/>
    </xf>
    <xf numFmtId="0" fontId="11" fillId="9" borderId="202" xfId="0" applyFont="1" applyFill="1" applyBorder="1" applyAlignment="1">
      <alignment horizontal="center"/>
    </xf>
    <xf numFmtId="0" fontId="11" fillId="9" borderId="203" xfId="0" applyFont="1" applyFill="1" applyBorder="1" applyAlignment="1">
      <alignment horizontal="center"/>
    </xf>
    <xf numFmtId="0" fontId="11" fillId="0" borderId="245" xfId="0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27" fillId="14" borderId="128" xfId="0" applyFont="1" applyFill="1" applyBorder="1" applyAlignment="1">
      <alignment horizontal="center" vertical="center"/>
    </xf>
    <xf numFmtId="0" fontId="27" fillId="14" borderId="123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/>
    </xf>
    <xf numFmtId="0" fontId="27" fillId="14" borderId="38" xfId="0" applyFont="1" applyFill="1" applyBorder="1" applyAlignment="1">
      <alignment horizontal="center"/>
    </xf>
    <xf numFmtId="0" fontId="27" fillId="14" borderId="39" xfId="0" applyFont="1" applyFill="1" applyBorder="1" applyAlignment="1">
      <alignment horizontal="center"/>
    </xf>
    <xf numFmtId="0" fontId="27" fillId="14" borderId="13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/>
    </xf>
    <xf numFmtId="14" fontId="2" fillId="0" borderId="120" xfId="0" applyNumberFormat="1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95" fillId="14" borderId="124" xfId="0" applyFont="1" applyFill="1" applyBorder="1" applyAlignment="1">
      <alignment horizontal="center" vertical="center"/>
    </xf>
    <xf numFmtId="0" fontId="95" fillId="14" borderId="120" xfId="0" applyFont="1" applyFill="1" applyBorder="1" applyAlignment="1">
      <alignment horizontal="center" vertical="center"/>
    </xf>
    <xf numFmtId="0" fontId="95" fillId="14" borderId="56" xfId="0" applyFont="1" applyFill="1" applyBorder="1" applyAlignment="1">
      <alignment horizontal="center" vertical="center"/>
    </xf>
    <xf numFmtId="0" fontId="84" fillId="2" borderId="17" xfId="0" applyFont="1" applyFill="1" applyBorder="1" applyAlignment="1">
      <alignment horizontal="right" vertical="center"/>
    </xf>
    <xf numFmtId="0" fontId="84" fillId="2" borderId="46" xfId="0" applyFont="1" applyFill="1" applyBorder="1" applyAlignment="1">
      <alignment horizontal="right" vertical="center"/>
    </xf>
    <xf numFmtId="0" fontId="84" fillId="2" borderId="271" xfId="0" applyFont="1" applyFill="1" applyBorder="1" applyAlignment="1">
      <alignment horizontal="right" vertical="center"/>
    </xf>
    <xf numFmtId="0" fontId="86" fillId="2" borderId="17" xfId="0" applyFont="1" applyFill="1" applyBorder="1" applyAlignment="1">
      <alignment horizontal="right" vertical="center"/>
    </xf>
    <xf numFmtId="0" fontId="86" fillId="2" borderId="46" xfId="0" applyFont="1" applyFill="1" applyBorder="1" applyAlignment="1">
      <alignment horizontal="right" vertical="center"/>
    </xf>
    <xf numFmtId="0" fontId="86" fillId="2" borderId="271" xfId="0" applyFont="1" applyFill="1" applyBorder="1" applyAlignment="1">
      <alignment horizontal="right" vertical="center"/>
    </xf>
    <xf numFmtId="0" fontId="13" fillId="8" borderId="124" xfId="0" applyFont="1" applyFill="1" applyBorder="1" applyAlignment="1">
      <alignment horizontal="right"/>
    </xf>
    <xf numFmtId="0" fontId="13" fillId="8" borderId="120" xfId="0" applyFont="1" applyFill="1" applyBorder="1" applyAlignment="1">
      <alignment horizontal="right"/>
    </xf>
    <xf numFmtId="0" fontId="13" fillId="8" borderId="56" xfId="0" applyFont="1" applyFill="1" applyBorder="1" applyAlignment="1">
      <alignment horizontal="right"/>
    </xf>
    <xf numFmtId="0" fontId="11" fillId="9" borderId="113" xfId="0" applyFont="1" applyFill="1" applyBorder="1" applyAlignment="1">
      <alignment horizontal="center"/>
    </xf>
    <xf numFmtId="0" fontId="11" fillId="9" borderId="143" xfId="0" applyFont="1" applyFill="1" applyBorder="1" applyAlignment="1">
      <alignment horizontal="center"/>
    </xf>
    <xf numFmtId="0" fontId="89" fillId="9" borderId="612" xfId="0" applyFont="1" applyFill="1" applyBorder="1" applyAlignment="1">
      <alignment horizontal="left" indent="1"/>
    </xf>
    <xf numFmtId="0" fontId="89" fillId="9" borderId="516" xfId="0" applyFont="1" applyFill="1" applyBorder="1" applyAlignment="1">
      <alignment horizontal="left" indent="1"/>
    </xf>
    <xf numFmtId="0" fontId="89" fillId="9" borderId="613" xfId="0" applyFont="1" applyFill="1" applyBorder="1" applyAlignment="1">
      <alignment horizontal="left" indent="1"/>
    </xf>
    <xf numFmtId="0" fontId="84" fillId="2" borderId="22" xfId="0" applyFont="1" applyFill="1" applyBorder="1" applyAlignment="1">
      <alignment horizontal="left" vertical="center"/>
    </xf>
    <xf numFmtId="0" fontId="84" fillId="2" borderId="0" xfId="0" applyFont="1" applyFill="1" applyBorder="1" applyAlignment="1">
      <alignment horizontal="left" vertical="center"/>
    </xf>
    <xf numFmtId="0" fontId="84" fillId="2" borderId="272" xfId="0" applyFont="1" applyFill="1" applyBorder="1" applyAlignment="1">
      <alignment horizontal="right" vertical="center"/>
    </xf>
    <xf numFmtId="0" fontId="84" fillId="2" borderId="273" xfId="0" applyFont="1" applyFill="1" applyBorder="1" applyAlignment="1">
      <alignment horizontal="right" vertical="center"/>
    </xf>
    <xf numFmtId="0" fontId="84" fillId="2" borderId="274" xfId="0" applyFont="1" applyFill="1" applyBorder="1" applyAlignment="1">
      <alignment horizontal="right" vertical="center"/>
    </xf>
    <xf numFmtId="0" fontId="84" fillId="2" borderId="6" xfId="0" applyFont="1" applyFill="1" applyBorder="1" applyAlignment="1">
      <alignment horizontal="right" vertical="center"/>
    </xf>
    <xf numFmtId="0" fontId="84" fillId="2" borderId="28" xfId="0" applyFont="1" applyFill="1" applyBorder="1" applyAlignment="1">
      <alignment horizontal="right" vertical="center"/>
    </xf>
    <xf numFmtId="0" fontId="84" fillId="2" borderId="270" xfId="0" applyFont="1" applyFill="1" applyBorder="1" applyAlignment="1">
      <alignment horizontal="right" vertic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3" fillId="2" borderId="121" xfId="0" applyFont="1" applyFill="1" applyBorder="1" applyAlignment="1">
      <alignment horizontal="right"/>
    </xf>
    <xf numFmtId="0" fontId="13" fillId="2" borderId="122" xfId="0" applyFont="1" applyFill="1" applyBorder="1" applyAlignment="1">
      <alignment horizontal="right"/>
    </xf>
    <xf numFmtId="0" fontId="13" fillId="2" borderId="75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/>
    </xf>
    <xf numFmtId="0" fontId="13" fillId="2" borderId="32" xfId="0" applyFont="1" applyFill="1" applyBorder="1" applyAlignment="1">
      <alignment horizontal="right"/>
    </xf>
    <xf numFmtId="0" fontId="13" fillId="2" borderId="33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89" fillId="9" borderId="124" xfId="0" applyFont="1" applyFill="1" applyBorder="1" applyAlignment="1">
      <alignment horizontal="center"/>
    </xf>
    <xf numFmtId="0" fontId="89" fillId="9" borderId="120" xfId="0" applyFont="1" applyFill="1" applyBorder="1" applyAlignment="1">
      <alignment horizontal="center"/>
    </xf>
    <xf numFmtId="0" fontId="89" fillId="9" borderId="21" xfId="0" applyFont="1" applyFill="1" applyBorder="1" applyAlignment="1">
      <alignment horizontal="center"/>
    </xf>
    <xf numFmtId="0" fontId="89" fillId="9" borderId="55" xfId="0" applyFont="1" applyFill="1" applyBorder="1" applyAlignment="1">
      <alignment horizontal="center"/>
    </xf>
    <xf numFmtId="0" fontId="89" fillId="9" borderId="20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 vertical="center"/>
    </xf>
    <xf numFmtId="0" fontId="13" fillId="2" borderId="37" xfId="0" applyFont="1" applyFill="1" applyBorder="1" applyAlignment="1">
      <alignment horizontal="right" vertical="center"/>
    </xf>
    <xf numFmtId="0" fontId="13" fillId="2" borderId="136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right" vertical="center"/>
    </xf>
    <xf numFmtId="0" fontId="13" fillId="2" borderId="76" xfId="0" applyFont="1" applyFill="1" applyBorder="1" applyAlignment="1">
      <alignment horizontal="right" vertical="center"/>
    </xf>
    <xf numFmtId="0" fontId="13" fillId="2" borderId="82" xfId="0" applyFont="1" applyFill="1" applyBorder="1" applyAlignment="1">
      <alignment horizontal="right" vertical="center"/>
    </xf>
    <xf numFmtId="0" fontId="84" fillId="8" borderId="268" xfId="0" applyFont="1" applyFill="1" applyBorder="1" applyAlignment="1">
      <alignment horizontal="right" vertical="center"/>
    </xf>
    <xf numFmtId="0" fontId="84" fillId="8" borderId="277" xfId="0" applyFont="1" applyFill="1" applyBorder="1" applyAlignment="1">
      <alignment horizontal="right" vertical="center"/>
    </xf>
    <xf numFmtId="0" fontId="84" fillId="8" borderId="278" xfId="0" applyFont="1" applyFill="1" applyBorder="1" applyAlignment="1">
      <alignment horizontal="right" vertical="center"/>
    </xf>
    <xf numFmtId="0" fontId="11" fillId="2" borderId="124" xfId="0" applyFont="1" applyFill="1" applyBorder="1" applyAlignment="1">
      <alignment horizontal="center"/>
    </xf>
    <xf numFmtId="0" fontId="11" fillId="2" borderId="120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89" fillId="9" borderId="124" xfId="0" applyFont="1" applyFill="1" applyBorder="1" applyAlignment="1">
      <alignment horizontal="left" indent="1"/>
    </xf>
    <xf numFmtId="0" fontId="89" fillId="9" borderId="120" xfId="0" applyFont="1" applyFill="1" applyBorder="1" applyAlignment="1">
      <alignment horizontal="left" indent="1"/>
    </xf>
    <xf numFmtId="0" fontId="89" fillId="9" borderId="26" xfId="0" applyFont="1" applyFill="1" applyBorder="1" applyAlignment="1">
      <alignment horizontal="left" indent="1"/>
    </xf>
    <xf numFmtId="0" fontId="89" fillId="9" borderId="27" xfId="0" applyFont="1" applyFill="1" applyBorder="1" applyAlignment="1">
      <alignment horizontal="left" indent="1"/>
    </xf>
    <xf numFmtId="0" fontId="0" fillId="9" borderId="266" xfId="0" applyFill="1" applyBorder="1" applyAlignment="1">
      <alignment horizontal="center"/>
    </xf>
    <xf numFmtId="0" fontId="13" fillId="2" borderId="125" xfId="0" applyFont="1" applyFill="1" applyBorder="1" applyAlignment="1">
      <alignment horizontal="right"/>
    </xf>
    <xf numFmtId="0" fontId="13" fillId="2" borderId="71" xfId="0" applyFont="1" applyFill="1" applyBorder="1" applyAlignment="1">
      <alignment horizontal="right"/>
    </xf>
    <xf numFmtId="0" fontId="13" fillId="2" borderId="135" xfId="0" applyFont="1" applyFill="1" applyBorder="1" applyAlignment="1">
      <alignment horizontal="right"/>
    </xf>
    <xf numFmtId="0" fontId="11" fillId="0" borderId="110" xfId="0" applyFont="1" applyFill="1" applyBorder="1" applyAlignment="1">
      <alignment horizontal="center"/>
    </xf>
    <xf numFmtId="0" fontId="11" fillId="0" borderId="142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0" fontId="11" fillId="0" borderId="113" xfId="0" applyFont="1" applyFill="1" applyBorder="1" applyAlignment="1">
      <alignment horizontal="center"/>
    </xf>
    <xf numFmtId="0" fontId="11" fillId="0" borderId="143" xfId="0" applyFont="1" applyFill="1" applyBorder="1" applyAlignment="1">
      <alignment horizontal="center"/>
    </xf>
    <xf numFmtId="0" fontId="11" fillId="9" borderId="110" xfId="0" applyFont="1" applyFill="1" applyBorder="1" applyAlignment="1">
      <alignment horizontal="center"/>
    </xf>
    <xf numFmtId="0" fontId="11" fillId="9" borderId="142" xfId="0" applyFont="1" applyFill="1" applyBorder="1" applyAlignment="1">
      <alignment horizontal="center"/>
    </xf>
    <xf numFmtId="0" fontId="13" fillId="2" borderId="88" xfId="0" applyFont="1" applyFill="1" applyBorder="1" applyAlignment="1">
      <alignment horizontal="right"/>
    </xf>
    <xf numFmtId="0" fontId="13" fillId="2" borderId="112" xfId="0" applyFont="1" applyFill="1" applyBorder="1" applyAlignment="1">
      <alignment horizontal="right"/>
    </xf>
    <xf numFmtId="0" fontId="84" fillId="8" borderId="17" xfId="0" applyFont="1" applyFill="1" applyBorder="1" applyAlignment="1">
      <alignment horizontal="right" vertical="center"/>
    </xf>
    <xf numFmtId="0" fontId="84" fillId="8" borderId="46" xfId="0" applyFont="1" applyFill="1" applyBorder="1" applyAlignment="1">
      <alignment horizontal="right" vertical="center"/>
    </xf>
    <xf numFmtId="0" fontId="84" fillId="8" borderId="271" xfId="0" applyFont="1" applyFill="1" applyBorder="1" applyAlignment="1">
      <alignment horizontal="right" vertical="center"/>
    </xf>
    <xf numFmtId="0" fontId="16" fillId="14" borderId="139" xfId="0" applyFont="1" applyFill="1" applyBorder="1" applyAlignment="1">
      <alignment horizontal="center" wrapText="1"/>
    </xf>
    <xf numFmtId="0" fontId="16" fillId="14" borderId="53" xfId="0" applyFont="1" applyFill="1" applyBorder="1" applyAlignment="1">
      <alignment horizontal="center" wrapText="1"/>
    </xf>
    <xf numFmtId="0" fontId="100" fillId="0" borderId="578" xfId="0" applyFont="1" applyFill="1" applyBorder="1" applyAlignment="1">
      <alignment horizontal="center"/>
    </xf>
    <xf numFmtId="0" fontId="100" fillId="0" borderId="579" xfId="0" applyFont="1" applyFill="1" applyBorder="1" applyAlignment="1">
      <alignment horizontal="center"/>
    </xf>
    <xf numFmtId="165" fontId="37" fillId="4" borderId="22" xfId="0" applyNumberFormat="1" applyFont="1" applyFill="1" applyBorder="1" applyAlignment="1">
      <alignment horizontal="center" vertical="center"/>
    </xf>
    <xf numFmtId="165" fontId="37" fillId="4" borderId="25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8" fillId="0" borderId="26" xfId="0" applyNumberFormat="1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33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 vertical="center"/>
    </xf>
    <xf numFmtId="0" fontId="79" fillId="0" borderId="26" xfId="0" applyFont="1" applyFill="1" applyBorder="1" applyAlignment="1">
      <alignment horizontal="left" vertical="center"/>
    </xf>
    <xf numFmtId="0" fontId="79" fillId="0" borderId="27" xfId="0" applyFont="1" applyFill="1" applyBorder="1" applyAlignment="1">
      <alignment horizontal="left" vertical="center"/>
    </xf>
    <xf numFmtId="14" fontId="11" fillId="4" borderId="25" xfId="0" applyNumberFormat="1" applyFont="1" applyFill="1" applyBorder="1" applyAlignment="1">
      <alignment horizontal="center"/>
    </xf>
    <xf numFmtId="14" fontId="11" fillId="4" borderId="26" xfId="0" applyNumberFormat="1" applyFont="1" applyFill="1" applyBorder="1" applyAlignment="1">
      <alignment horizontal="center"/>
    </xf>
    <xf numFmtId="14" fontId="77" fillId="4" borderId="26" xfId="0" applyNumberFormat="1" applyFont="1" applyFill="1" applyBorder="1" applyAlignment="1">
      <alignment horizontal="right"/>
    </xf>
    <xf numFmtId="14" fontId="77" fillId="4" borderId="27" xfId="0" applyNumberFormat="1" applyFont="1" applyFill="1" applyBorder="1" applyAlignment="1">
      <alignment horizontal="right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94" fillId="9" borderId="127" xfId="0" applyFont="1" applyFill="1" applyBorder="1" applyAlignment="1">
      <alignment horizontal="center" wrapText="1"/>
    </xf>
    <xf numFmtId="0" fontId="94" fillId="9" borderId="65" xfId="0" applyFont="1" applyFill="1" applyBorder="1" applyAlignment="1">
      <alignment horizontal="center" wrapText="1"/>
    </xf>
    <xf numFmtId="0" fontId="11" fillId="2" borderId="9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right"/>
    </xf>
    <xf numFmtId="0" fontId="15" fillId="8" borderId="46" xfId="0" applyFont="1" applyFill="1" applyBorder="1" applyAlignment="1">
      <alignment horizontal="right"/>
    </xf>
    <xf numFmtId="0" fontId="21" fillId="9" borderId="1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right"/>
    </xf>
    <xf numFmtId="0" fontId="15" fillId="8" borderId="1" xfId="0" applyFont="1" applyFill="1" applyBorder="1" applyAlignment="1">
      <alignment horizontal="right"/>
    </xf>
    <xf numFmtId="0" fontId="15" fillId="8" borderId="221" xfId="0" applyFont="1" applyFill="1" applyBorder="1" applyAlignment="1">
      <alignment horizontal="right"/>
    </xf>
    <xf numFmtId="0" fontId="15" fillId="8" borderId="32" xfId="0" applyFont="1" applyFill="1" applyBorder="1" applyAlignment="1">
      <alignment horizontal="right"/>
    </xf>
    <xf numFmtId="0" fontId="21" fillId="9" borderId="93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center"/>
    </xf>
    <xf numFmtId="0" fontId="21" fillId="9" borderId="33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55" xfId="0" applyFont="1" applyBorder="1" applyAlignment="1">
      <alignment horizontal="left"/>
    </xf>
    <xf numFmtId="0" fontId="13" fillId="2" borderId="9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/>
    </xf>
    <xf numFmtId="0" fontId="16" fillId="2" borderId="112" xfId="0" applyFont="1" applyFill="1" applyBorder="1" applyAlignment="1">
      <alignment horizontal="center"/>
    </xf>
    <xf numFmtId="0" fontId="16" fillId="2" borderId="13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13" fillId="4" borderId="122" xfId="0" applyNumberFormat="1" applyFont="1" applyFill="1" applyBorder="1" applyAlignment="1">
      <alignment horizontal="left" vertical="center"/>
    </xf>
    <xf numFmtId="0" fontId="13" fillId="4" borderId="122" xfId="0" applyFont="1" applyFill="1" applyBorder="1" applyAlignment="1">
      <alignment horizontal="left" vertical="center"/>
    </xf>
    <xf numFmtId="0" fontId="75" fillId="9" borderId="0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75" fillId="4" borderId="23" xfId="0" applyFont="1" applyFill="1" applyBorder="1" applyAlignment="1">
      <alignment horizontal="left" vertical="center"/>
    </xf>
    <xf numFmtId="14" fontId="38" fillId="4" borderId="22" xfId="0" applyNumberFormat="1" applyFont="1" applyFill="1" applyBorder="1" applyAlignment="1">
      <alignment horizontal="center"/>
    </xf>
    <xf numFmtId="14" fontId="38" fillId="4" borderId="0" xfId="0" applyNumberFormat="1" applyFont="1" applyFill="1" applyBorder="1" applyAlignment="1">
      <alignment horizontal="center"/>
    </xf>
    <xf numFmtId="0" fontId="75" fillId="4" borderId="0" xfId="0" applyFont="1" applyFill="1" applyBorder="1" applyAlignment="1">
      <alignment horizontal="right"/>
    </xf>
    <xf numFmtId="0" fontId="75" fillId="4" borderId="23" xfId="0" applyFont="1" applyFill="1" applyBorder="1" applyAlignment="1">
      <alignment horizontal="right"/>
    </xf>
    <xf numFmtId="0" fontId="75" fillId="4" borderId="26" xfId="0" applyFont="1" applyFill="1" applyBorder="1" applyAlignment="1">
      <alignment horizontal="right"/>
    </xf>
    <xf numFmtId="0" fontId="75" fillId="4" borderId="27" xfId="0" applyFont="1" applyFill="1" applyBorder="1" applyAlignment="1">
      <alignment horizontal="right"/>
    </xf>
    <xf numFmtId="0" fontId="43" fillId="9" borderId="2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9" borderId="55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 textRotation="90"/>
    </xf>
    <xf numFmtId="0" fontId="23" fillId="10" borderId="23" xfId="0" applyFont="1" applyFill="1" applyBorder="1" applyAlignment="1">
      <alignment horizontal="center" vertical="center" textRotation="90"/>
    </xf>
    <xf numFmtId="0" fontId="23" fillId="10" borderId="25" xfId="0" applyFont="1" applyFill="1" applyBorder="1" applyAlignment="1">
      <alignment horizontal="center" vertical="center" textRotation="90"/>
    </xf>
    <xf numFmtId="0" fontId="23" fillId="10" borderId="27" xfId="0" applyFont="1" applyFill="1" applyBorder="1" applyAlignment="1">
      <alignment horizontal="center" vertical="center" textRotation="90"/>
    </xf>
    <xf numFmtId="0" fontId="102" fillId="10" borderId="20" xfId="0" applyFont="1" applyFill="1" applyBorder="1" applyAlignment="1">
      <alignment horizontal="center" textRotation="90"/>
    </xf>
    <xf numFmtId="0" fontId="102" fillId="10" borderId="55" xfId="0" applyFont="1" applyFill="1" applyBorder="1" applyAlignment="1">
      <alignment horizontal="center" textRotation="90"/>
    </xf>
    <xf numFmtId="0" fontId="102" fillId="10" borderId="22" xfId="0" applyFont="1" applyFill="1" applyBorder="1" applyAlignment="1">
      <alignment horizontal="center" textRotation="90"/>
    </xf>
    <xf numFmtId="0" fontId="102" fillId="10" borderId="23" xfId="0" applyFont="1" applyFill="1" applyBorder="1" applyAlignment="1">
      <alignment horizontal="center" textRotation="90"/>
    </xf>
    <xf numFmtId="0" fontId="75" fillId="10" borderId="20" xfId="0" applyFont="1" applyFill="1" applyBorder="1" applyAlignment="1">
      <alignment horizontal="center" textRotation="90"/>
    </xf>
    <xf numFmtId="0" fontId="75" fillId="10" borderId="55" xfId="0" applyFont="1" applyFill="1" applyBorder="1" applyAlignment="1">
      <alignment horizontal="center" textRotation="90"/>
    </xf>
    <xf numFmtId="0" fontId="75" fillId="10" borderId="22" xfId="0" applyFont="1" applyFill="1" applyBorder="1" applyAlignment="1">
      <alignment horizontal="center" textRotation="90"/>
    </xf>
    <xf numFmtId="0" fontId="75" fillId="10" borderId="23" xfId="0" applyFont="1" applyFill="1" applyBorder="1" applyAlignment="1">
      <alignment horizontal="center" textRotation="90"/>
    </xf>
    <xf numFmtId="0" fontId="16" fillId="8" borderId="2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16" fillId="14" borderId="112" xfId="0" applyFont="1" applyFill="1" applyBorder="1" applyAlignment="1">
      <alignment horizontal="center" vertical="center"/>
    </xf>
    <xf numFmtId="0" fontId="16" fillId="14" borderId="130" xfId="0" applyFont="1" applyFill="1" applyBorder="1" applyAlignment="1">
      <alignment horizontal="center" vertical="center"/>
    </xf>
    <xf numFmtId="0" fontId="16" fillId="14" borderId="76" xfId="0" applyFont="1" applyFill="1" applyBorder="1" applyAlignment="1">
      <alignment horizontal="center" vertical="center"/>
    </xf>
    <xf numFmtId="0" fontId="16" fillId="14" borderId="82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136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124" xfId="0" applyFont="1" applyFill="1" applyBorder="1" applyAlignment="1">
      <alignment horizontal="center" vertical="center"/>
    </xf>
    <xf numFmtId="0" fontId="16" fillId="8" borderId="120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/>
    </xf>
    <xf numFmtId="0" fontId="16" fillId="9" borderId="120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53" fillId="9" borderId="124" xfId="0" applyFont="1" applyFill="1" applyBorder="1" applyAlignment="1">
      <alignment horizontal="center" vertical="center"/>
    </xf>
    <xf numFmtId="0" fontId="53" fillId="9" borderId="120" xfId="0" applyFont="1" applyFill="1" applyBorder="1" applyAlignment="1">
      <alignment horizontal="center" vertical="center"/>
    </xf>
    <xf numFmtId="0" fontId="53" fillId="9" borderId="56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14" borderId="8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12" borderId="191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0" borderId="536" xfId="0" applyFont="1" applyFill="1" applyBorder="1" applyAlignment="1">
      <alignment horizontal="center" vertical="center"/>
    </xf>
    <xf numFmtId="0" fontId="11" fillId="9" borderId="80" xfId="0" applyFont="1" applyFill="1" applyBorder="1" applyAlignment="1">
      <alignment horizontal="center" vertical="center"/>
    </xf>
    <xf numFmtId="0" fontId="11" fillId="9" borderId="119" xfId="0" applyFont="1" applyFill="1" applyBorder="1" applyAlignment="1">
      <alignment horizontal="center" vertical="center"/>
    </xf>
    <xf numFmtId="0" fontId="16" fillId="12" borderId="190" xfId="0" applyFont="1" applyFill="1" applyBorder="1" applyAlignment="1">
      <alignment horizontal="center" vertical="center"/>
    </xf>
    <xf numFmtId="0" fontId="16" fillId="12" borderId="171" xfId="0" applyFont="1" applyFill="1" applyBorder="1" applyAlignment="1">
      <alignment horizontal="center" vertical="center"/>
    </xf>
    <xf numFmtId="0" fontId="15" fillId="9" borderId="627" xfId="0" applyFont="1" applyFill="1" applyBorder="1" applyAlignment="1">
      <alignment horizontal="center" vertical="center"/>
    </xf>
    <xf numFmtId="0" fontId="15" fillId="9" borderId="628" xfId="0" applyFont="1" applyFill="1" applyBorder="1" applyAlignment="1">
      <alignment horizontal="center" vertical="center"/>
    </xf>
    <xf numFmtId="0" fontId="15" fillId="9" borderId="629" xfId="0" applyFont="1" applyFill="1" applyBorder="1" applyAlignment="1">
      <alignment horizontal="center" vertical="center"/>
    </xf>
    <xf numFmtId="0" fontId="15" fillId="9" borderId="630" xfId="0" applyFont="1" applyFill="1" applyBorder="1" applyAlignment="1">
      <alignment horizontal="center" vertical="center"/>
    </xf>
    <xf numFmtId="0" fontId="11" fillId="9" borderId="616" xfId="0" applyFont="1" applyFill="1" applyBorder="1" applyAlignment="1">
      <alignment horizontal="center" vertical="center"/>
    </xf>
    <xf numFmtId="0" fontId="31" fillId="9" borderId="544" xfId="0" applyFont="1" applyFill="1" applyBorder="1" applyAlignment="1">
      <alignment horizontal="center" vertical="center"/>
    </xf>
    <xf numFmtId="0" fontId="31" fillId="9" borderId="119" xfId="0" applyFont="1" applyFill="1" applyBorder="1" applyAlignment="1">
      <alignment horizontal="center" vertical="center"/>
    </xf>
    <xf numFmtId="0" fontId="15" fillId="9" borderId="625" xfId="0" applyFont="1" applyFill="1" applyBorder="1" applyAlignment="1">
      <alignment horizontal="center" vertical="center"/>
    </xf>
    <xf numFmtId="0" fontId="15" fillId="9" borderId="626" xfId="0" applyFont="1" applyFill="1" applyBorder="1" applyAlignment="1">
      <alignment horizontal="center" vertical="center"/>
    </xf>
    <xf numFmtId="0" fontId="11" fillId="9" borderId="545" xfId="0" applyFont="1" applyFill="1" applyBorder="1" applyAlignment="1">
      <alignment horizontal="center" vertical="center"/>
    </xf>
    <xf numFmtId="0" fontId="16" fillId="12" borderId="168" xfId="0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16" fillId="12" borderId="169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5" fillId="11" borderId="629" xfId="0" applyFont="1" applyFill="1" applyBorder="1" applyAlignment="1">
      <alignment horizontal="center" vertical="center"/>
    </xf>
    <xf numFmtId="0" fontId="15" fillId="11" borderId="630" xfId="0" applyFont="1" applyFill="1" applyBorder="1" applyAlignment="1">
      <alignment horizontal="center" vertical="center"/>
    </xf>
    <xf numFmtId="0" fontId="11" fillId="8" borderId="80" xfId="0" applyFont="1" applyFill="1" applyBorder="1" applyAlignment="1">
      <alignment horizontal="center" vertical="center"/>
    </xf>
    <xf numFmtId="0" fontId="11" fillId="8" borderId="616" xfId="0" applyFont="1" applyFill="1" applyBorder="1" applyAlignment="1">
      <alignment horizontal="center" vertical="center"/>
    </xf>
    <xf numFmtId="0" fontId="11" fillId="8" borderId="545" xfId="0" applyFont="1" applyFill="1" applyBorder="1" applyAlignment="1">
      <alignment horizontal="center" vertical="center"/>
    </xf>
    <xf numFmtId="0" fontId="15" fillId="11" borderId="627" xfId="0" applyFont="1" applyFill="1" applyBorder="1" applyAlignment="1">
      <alignment horizontal="center" vertical="center"/>
    </xf>
    <xf numFmtId="0" fontId="15" fillId="11" borderId="628" xfId="0" applyFont="1" applyFill="1" applyBorder="1" applyAlignment="1">
      <alignment horizontal="center" vertical="center"/>
    </xf>
    <xf numFmtId="0" fontId="31" fillId="8" borderId="544" xfId="0" applyFont="1" applyFill="1" applyBorder="1" applyAlignment="1">
      <alignment horizontal="center" vertical="center"/>
    </xf>
    <xf numFmtId="0" fontId="31" fillId="8" borderId="119" xfId="0" applyFont="1" applyFill="1" applyBorder="1" applyAlignment="1">
      <alignment horizontal="center" vertical="center"/>
    </xf>
    <xf numFmtId="0" fontId="15" fillId="11" borderId="625" xfId="0" applyFont="1" applyFill="1" applyBorder="1" applyAlignment="1">
      <alignment horizontal="center" vertical="center"/>
    </xf>
    <xf numFmtId="0" fontId="15" fillId="11" borderId="626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6" fillId="20" borderId="7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3" fillId="9" borderId="124" xfId="0" applyFont="1" applyFill="1" applyBorder="1" applyAlignment="1">
      <alignment horizontal="left"/>
    </xf>
    <xf numFmtId="0" fontId="53" fillId="9" borderId="120" xfId="0" applyFont="1" applyFill="1" applyBorder="1" applyAlignment="1">
      <alignment horizontal="left"/>
    </xf>
    <xf numFmtId="0" fontId="53" fillId="9" borderId="56" xfId="0" applyFont="1" applyFill="1" applyBorder="1" applyAlignment="1">
      <alignment horizontal="left"/>
    </xf>
    <xf numFmtId="0" fontId="11" fillId="2" borderId="80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6" fillId="20" borderId="37" xfId="0" applyFont="1" applyFill="1" applyBorder="1" applyAlignment="1">
      <alignment horizontal="center" vertical="center"/>
    </xf>
    <xf numFmtId="0" fontId="75" fillId="0" borderId="37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315" xfId="0" applyFont="1" applyBorder="1" applyAlignment="1">
      <alignment horizontal="center"/>
    </xf>
    <xf numFmtId="0" fontId="43" fillId="10" borderId="125" xfId="0" applyFont="1" applyFill="1" applyBorder="1" applyAlignment="1">
      <alignment horizontal="center"/>
    </xf>
    <xf numFmtId="0" fontId="43" fillId="10" borderId="47" xfId="0" applyFont="1" applyFill="1" applyBorder="1" applyAlignment="1">
      <alignment horizontal="center"/>
    </xf>
    <xf numFmtId="0" fontId="43" fillId="10" borderId="115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75" fillId="4" borderId="20" xfId="0" applyFont="1" applyFill="1" applyBorder="1" applyAlignment="1">
      <alignment horizontal="center" vertical="center"/>
    </xf>
    <xf numFmtId="0" fontId="75" fillId="9" borderId="21" xfId="0" applyFont="1" applyFill="1" applyBorder="1" applyAlignment="1">
      <alignment horizontal="center" vertical="center"/>
    </xf>
    <xf numFmtId="0" fontId="75" fillId="4" borderId="55" xfId="0" applyFont="1" applyFill="1" applyBorder="1" applyAlignment="1">
      <alignment horizontal="center" vertical="center"/>
    </xf>
    <xf numFmtId="0" fontId="75" fillId="4" borderId="25" xfId="0" applyFont="1" applyFill="1" applyBorder="1" applyAlignment="1">
      <alignment horizontal="center" vertical="center"/>
    </xf>
    <xf numFmtId="0" fontId="75" fillId="4" borderId="26" xfId="0" applyFont="1" applyFill="1" applyBorder="1" applyAlignment="1">
      <alignment horizontal="center" vertical="center"/>
    </xf>
    <xf numFmtId="0" fontId="75" fillId="4" borderId="2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14" fontId="11" fillId="4" borderId="0" xfId="0" applyNumberFormat="1" applyFont="1" applyFill="1" applyBorder="1" applyAlignment="1">
      <alignment horizontal="center" vertical="center"/>
    </xf>
    <xf numFmtId="14" fontId="11" fillId="4" borderId="23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right"/>
    </xf>
    <xf numFmtId="0" fontId="52" fillId="9" borderId="0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right"/>
    </xf>
    <xf numFmtId="0" fontId="15" fillId="8" borderId="76" xfId="0" applyFont="1" applyFill="1" applyBorder="1" applyAlignment="1">
      <alignment horizontal="right"/>
    </xf>
    <xf numFmtId="0" fontId="51" fillId="9" borderId="0" xfId="0" applyFont="1" applyFill="1" applyBorder="1" applyAlignment="1">
      <alignment horizontal="left" vertical="center"/>
    </xf>
    <xf numFmtId="0" fontId="51" fillId="9" borderId="26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right"/>
    </xf>
    <xf numFmtId="0" fontId="5" fillId="0" borderId="9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18" borderId="93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8" borderId="95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8" borderId="135" xfId="0" applyFill="1" applyBorder="1" applyAlignment="1">
      <alignment horizontal="center"/>
    </xf>
    <xf numFmtId="0" fontId="0" fillId="16" borderId="4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8" borderId="112" xfId="0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0" borderId="9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9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2" fillId="18" borderId="93" xfId="0" applyFont="1" applyFill="1" applyBorder="1" applyAlignment="1">
      <alignment horizontal="center"/>
    </xf>
    <xf numFmtId="0" fontId="2" fillId="18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4" fillId="9" borderId="93" xfId="0" applyFont="1" applyFill="1" applyBorder="1" applyAlignment="1">
      <alignment horizontal="center"/>
    </xf>
    <xf numFmtId="0" fontId="54" fillId="9" borderId="32" xfId="0" applyFont="1" applyFill="1" applyBorder="1" applyAlignment="1">
      <alignment horizontal="center"/>
    </xf>
    <xf numFmtId="0" fontId="54" fillId="9" borderId="99" xfId="0" applyFont="1" applyFill="1" applyBorder="1" applyAlignment="1">
      <alignment horizontal="center"/>
    </xf>
    <xf numFmtId="0" fontId="10" fillId="9" borderId="125" xfId="0" applyFont="1" applyFill="1" applyBorder="1" applyAlignment="1">
      <alignment horizontal="center"/>
    </xf>
    <xf numFmtId="0" fontId="10" fillId="9" borderId="71" xfId="0" applyFont="1" applyFill="1" applyBorder="1" applyAlignment="1">
      <alignment horizontal="center"/>
    </xf>
    <xf numFmtId="0" fontId="10" fillId="9" borderId="126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141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7" fillId="6" borderId="93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99" xfId="0" applyFont="1" applyFill="1" applyBorder="1" applyAlignment="1">
      <alignment horizontal="center"/>
    </xf>
    <xf numFmtId="0" fontId="16" fillId="6" borderId="93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75" fillId="4" borderId="127" xfId="0" applyFont="1" applyFill="1" applyBorder="1" applyAlignment="1">
      <alignment horizontal="center" vertical="center"/>
    </xf>
    <xf numFmtId="0" fontId="75" fillId="4" borderId="13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right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8" fillId="4" borderId="0" xfId="0" applyFont="1" applyFill="1" applyBorder="1" applyAlignment="1">
      <alignment horizontal="left" vertical="center"/>
    </xf>
    <xf numFmtId="0" fontId="78" fillId="4" borderId="23" xfId="0" applyFont="1" applyFill="1" applyBorder="1" applyAlignment="1">
      <alignment horizontal="left" vertical="center"/>
    </xf>
    <xf numFmtId="0" fontId="78" fillId="4" borderId="26" xfId="0" applyFont="1" applyFill="1" applyBorder="1" applyAlignment="1">
      <alignment horizontal="left" vertical="center"/>
    </xf>
    <xf numFmtId="0" fontId="78" fillId="4" borderId="27" xfId="0" applyFont="1" applyFill="1" applyBorder="1" applyAlignment="1">
      <alignment horizontal="left" vertical="center"/>
    </xf>
    <xf numFmtId="0" fontId="9" fillId="15" borderId="127" xfId="1" applyFont="1" applyFill="1" applyBorder="1" applyAlignment="1">
      <alignment horizontal="center" vertical="center" textRotation="255"/>
    </xf>
    <xf numFmtId="0" fontId="9" fillId="15" borderId="128" xfId="1" applyFont="1" applyFill="1" applyBorder="1" applyAlignment="1">
      <alignment horizontal="center" vertical="center" textRotation="255"/>
    </xf>
    <xf numFmtId="0" fontId="9" fillId="15" borderId="138" xfId="1" applyFont="1" applyFill="1" applyBorder="1" applyAlignment="1">
      <alignment horizontal="center" vertical="center" textRotation="255"/>
    </xf>
    <xf numFmtId="0" fontId="9" fillId="6" borderId="127" xfId="1" applyFont="1" applyFill="1" applyBorder="1" applyAlignment="1">
      <alignment horizontal="center" vertical="center" textRotation="255"/>
    </xf>
    <xf numFmtId="0" fontId="9" fillId="6" borderId="128" xfId="1" applyFont="1" applyFill="1" applyBorder="1" applyAlignment="1">
      <alignment horizontal="center" vertical="center" textRotation="255"/>
    </xf>
    <xf numFmtId="0" fontId="9" fillId="6" borderId="138" xfId="1" applyFont="1" applyFill="1" applyBorder="1" applyAlignment="1">
      <alignment horizontal="center" vertical="center" textRotation="255"/>
    </xf>
    <xf numFmtId="0" fontId="62" fillId="14" borderId="20" xfId="1" applyFont="1" applyFill="1" applyBorder="1" applyAlignment="1">
      <alignment horizontal="center" vertical="center" wrapText="1"/>
    </xf>
    <xf numFmtId="0" fontId="62" fillId="14" borderId="21" xfId="1" applyFont="1" applyFill="1" applyBorder="1" applyAlignment="1">
      <alignment horizontal="center" vertical="center" wrapText="1"/>
    </xf>
    <xf numFmtId="0" fontId="62" fillId="14" borderId="55" xfId="1" applyFont="1" applyFill="1" applyBorder="1" applyAlignment="1">
      <alignment horizontal="center" vertical="center" wrapText="1"/>
    </xf>
    <xf numFmtId="0" fontId="62" fillId="14" borderId="22" xfId="1" applyFont="1" applyFill="1" applyBorder="1" applyAlignment="1">
      <alignment horizontal="center" vertical="center" wrapText="1"/>
    </xf>
    <xf numFmtId="0" fontId="62" fillId="14" borderId="0" xfId="1" applyFont="1" applyFill="1" applyBorder="1" applyAlignment="1">
      <alignment horizontal="center" vertical="center" wrapText="1"/>
    </xf>
    <xf numFmtId="0" fontId="62" fillId="14" borderId="23" xfId="1" applyFont="1" applyFill="1" applyBorder="1" applyAlignment="1">
      <alignment horizontal="center" vertical="center" wrapText="1"/>
    </xf>
    <xf numFmtId="0" fontId="62" fillId="14" borderId="25" xfId="1" applyFont="1" applyFill="1" applyBorder="1" applyAlignment="1">
      <alignment horizontal="center" vertical="center" wrapText="1"/>
    </xf>
    <xf numFmtId="0" fontId="62" fillId="14" borderId="26" xfId="1" applyFont="1" applyFill="1" applyBorder="1" applyAlignment="1">
      <alignment horizontal="center" vertical="center" wrapText="1"/>
    </xf>
    <xf numFmtId="0" fontId="62" fillId="14" borderId="27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3" fillId="0" borderId="124" xfId="1" applyFont="1" applyBorder="1" applyAlignment="1">
      <alignment horizontal="center"/>
    </xf>
    <xf numFmtId="0" fontId="3" fillId="0" borderId="120" xfId="1" applyFont="1" applyBorder="1" applyAlignment="1">
      <alignment horizontal="center"/>
    </xf>
    <xf numFmtId="0" fontId="3" fillId="0" borderId="56" xfId="1" applyFont="1" applyBorder="1" applyAlignment="1">
      <alignment horizontal="center"/>
    </xf>
    <xf numFmtId="0" fontId="75" fillId="0" borderId="26" xfId="1" applyFont="1" applyBorder="1" applyAlignment="1">
      <alignment horizontal="left"/>
    </xf>
    <xf numFmtId="0" fontId="75" fillId="0" borderId="124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22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103" fillId="0" borderId="22" xfId="0" applyFont="1" applyBorder="1" applyAlignment="1">
      <alignment horizontal="center" textRotation="90"/>
    </xf>
    <xf numFmtId="0" fontId="103" fillId="0" borderId="23" xfId="0" applyFont="1" applyBorder="1" applyAlignment="1">
      <alignment horizontal="center" textRotation="90"/>
    </xf>
    <xf numFmtId="0" fontId="103" fillId="0" borderId="25" xfId="0" applyFont="1" applyBorder="1" applyAlignment="1">
      <alignment horizontal="center" textRotation="90"/>
    </xf>
    <xf numFmtId="0" fontId="103" fillId="0" borderId="27" xfId="0" applyFont="1" applyBorder="1" applyAlignment="1">
      <alignment horizontal="center" textRotation="90"/>
    </xf>
    <xf numFmtId="0" fontId="104" fillId="4" borderId="22" xfId="0" applyFont="1" applyFill="1" applyBorder="1" applyAlignment="1">
      <alignment horizontal="center"/>
    </xf>
    <xf numFmtId="0" fontId="104" fillId="4" borderId="0" xfId="0" applyFont="1" applyFill="1" applyBorder="1" applyAlignment="1">
      <alignment horizontal="center"/>
    </xf>
    <xf numFmtId="0" fontId="104" fillId="4" borderId="25" xfId="0" applyFont="1" applyFill="1" applyBorder="1" applyAlignment="1">
      <alignment horizontal="center"/>
    </xf>
    <xf numFmtId="0" fontId="104" fillId="4" borderId="26" xfId="0" applyFont="1" applyFill="1" applyBorder="1" applyAlignment="1">
      <alignment horizontal="center"/>
    </xf>
    <xf numFmtId="0" fontId="103" fillId="4" borderId="0" xfId="0" applyFont="1" applyFill="1" applyBorder="1" applyAlignment="1">
      <alignment horizontal="center"/>
    </xf>
    <xf numFmtId="0" fontId="105" fillId="9" borderId="0" xfId="0" applyFont="1" applyFill="1" applyBorder="1" applyAlignment="1">
      <alignment horizontal="center"/>
    </xf>
    <xf numFmtId="0" fontId="104" fillId="4" borderId="0" xfId="0" applyFont="1" applyFill="1" applyBorder="1"/>
    <xf numFmtId="0" fontId="104" fillId="4" borderId="0" xfId="0" applyFont="1" applyFill="1" applyBorder="1" applyAlignment="1">
      <alignment horizontal="center"/>
    </xf>
    <xf numFmtId="0" fontId="106" fillId="9" borderId="20" xfId="0" applyFont="1" applyFill="1" applyBorder="1" applyAlignment="1" applyProtection="1">
      <alignment horizontal="center" vertical="center" wrapText="1"/>
    </xf>
    <xf numFmtId="0" fontId="106" fillId="9" borderId="21" xfId="0" applyFont="1" applyFill="1" applyBorder="1" applyAlignment="1" applyProtection="1">
      <alignment horizontal="center" vertical="center" wrapText="1"/>
    </xf>
    <xf numFmtId="0" fontId="106" fillId="9" borderId="55" xfId="0" applyFont="1" applyFill="1" applyBorder="1" applyAlignment="1" applyProtection="1">
      <alignment horizontal="center" vertical="center" wrapText="1"/>
    </xf>
    <xf numFmtId="0" fontId="106" fillId="9" borderId="22" xfId="0" applyFont="1" applyFill="1" applyBorder="1" applyAlignment="1" applyProtection="1">
      <alignment horizontal="center" vertical="center" wrapText="1"/>
    </xf>
    <xf numFmtId="0" fontId="106" fillId="9" borderId="0" xfId="0" applyFont="1" applyFill="1" applyBorder="1" applyAlignment="1" applyProtection="1">
      <alignment horizontal="center" vertical="center" wrapText="1"/>
    </xf>
    <xf numFmtId="0" fontId="106" fillId="9" borderId="23" xfId="0" applyFont="1" applyFill="1" applyBorder="1" applyAlignment="1" applyProtection="1">
      <alignment horizontal="center" vertical="center" wrapText="1"/>
    </xf>
    <xf numFmtId="0" fontId="106" fillId="9" borderId="47" xfId="0" applyFont="1" applyFill="1" applyBorder="1" applyAlignment="1" applyProtection="1">
      <alignment horizontal="center" vertical="center" wrapText="1"/>
    </xf>
    <xf numFmtId="0" fontId="106" fillId="9" borderId="11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 (4)" xfId="1" xr:uid="{00000000-0005-0000-0000-000004000000}"/>
  </cellStyles>
  <dxfs count="59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4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CCFFFF"/>
      <color rgb="FFCCFFCC"/>
      <color rgb="FFE1FFE1"/>
      <color rgb="FFFFFF99"/>
      <color rgb="FFEDF7AF"/>
      <color rgb="FFCCFF99"/>
      <color rgb="FFF8F8F8"/>
      <color rgb="FFDBEEF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142402</xdr:colOff>
      <xdr:row>41</xdr:row>
      <xdr:rowOff>57150</xdr:rowOff>
    </xdr:from>
    <xdr:to>
      <xdr:col>7</xdr:col>
      <xdr:colOff>46071</xdr:colOff>
      <xdr:row>41</xdr:row>
      <xdr:rowOff>57150</xdr:rowOff>
    </xdr:to>
    <xdr:sp macro="" textlink="">
      <xdr:nvSpPr>
        <xdr:cNvPr id="1254" name="Line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1485427" y="6343650"/>
          <a:ext cx="932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151454</xdr:colOff>
      <xdr:row>45</xdr:row>
      <xdr:rowOff>85725</xdr:rowOff>
    </xdr:from>
    <xdr:to>
      <xdr:col>7</xdr:col>
      <xdr:colOff>37019</xdr:colOff>
      <xdr:row>45</xdr:row>
      <xdr:rowOff>85725</xdr:rowOff>
    </xdr:to>
    <xdr:sp macro="" textlink="">
      <xdr:nvSpPr>
        <xdr:cNvPr id="1255" name="Lin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1494479" y="6981825"/>
          <a:ext cx="9142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50260</xdr:colOff>
      <xdr:row>45</xdr:row>
      <xdr:rowOff>76200</xdr:rowOff>
    </xdr:from>
    <xdr:to>
      <xdr:col>1</xdr:col>
      <xdr:colOff>50260</xdr:colOff>
      <xdr:row>49</xdr:row>
      <xdr:rowOff>28575</xdr:rowOff>
    </xdr:to>
    <xdr:sp macro="" textlink="">
      <xdr:nvSpPr>
        <xdr:cNvPr id="1256" name="Line 4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878935" y="69723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142402</xdr:colOff>
      <xdr:row>45</xdr:row>
      <xdr:rowOff>76200</xdr:rowOff>
    </xdr:from>
    <xdr:to>
      <xdr:col>3</xdr:col>
      <xdr:colOff>142402</xdr:colOff>
      <xdr:row>49</xdr:row>
      <xdr:rowOff>57150</xdr:rowOff>
    </xdr:to>
    <xdr:sp macro="" textlink="">
      <xdr:nvSpPr>
        <xdr:cNvPr id="1257" name="Line 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>
          <a:off x="1485427" y="69723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41</xdr:row>
      <xdr:rowOff>57150</xdr:rowOff>
    </xdr:from>
    <xdr:to>
      <xdr:col>1</xdr:col>
      <xdr:colOff>41207</xdr:colOff>
      <xdr:row>41</xdr:row>
      <xdr:rowOff>57150</xdr:rowOff>
    </xdr:to>
    <xdr:sp macro="" textlink="">
      <xdr:nvSpPr>
        <xdr:cNvPr id="1258" name="Line 6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H="1">
          <a:off x="200025" y="6343650"/>
          <a:ext cx="669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227181</xdr:colOff>
      <xdr:row>45</xdr:row>
      <xdr:rowOff>85725</xdr:rowOff>
    </xdr:from>
    <xdr:to>
      <xdr:col>1</xdr:col>
      <xdr:colOff>50259</xdr:colOff>
      <xdr:row>45</xdr:row>
      <xdr:rowOff>85725</xdr:rowOff>
    </xdr:to>
    <xdr:sp macro="" textlink="">
      <xdr:nvSpPr>
        <xdr:cNvPr id="1259" name="Line 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 flipH="1">
          <a:off x="227181" y="6981825"/>
          <a:ext cx="6517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142402</xdr:colOff>
      <xdr:row>38</xdr:row>
      <xdr:rowOff>57150</xdr:rowOff>
    </xdr:from>
    <xdr:to>
      <xdr:col>3</xdr:col>
      <xdr:colOff>142402</xdr:colOff>
      <xdr:row>41</xdr:row>
      <xdr:rowOff>57150</xdr:rowOff>
    </xdr:to>
    <xdr:sp macro="" textlink="">
      <xdr:nvSpPr>
        <xdr:cNvPr id="1260" name="Line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flipV="1">
          <a:off x="1485427" y="5886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50260</xdr:colOff>
      <xdr:row>38</xdr:row>
      <xdr:rowOff>57150</xdr:rowOff>
    </xdr:from>
    <xdr:to>
      <xdr:col>1</xdr:col>
      <xdr:colOff>50260</xdr:colOff>
      <xdr:row>41</xdr:row>
      <xdr:rowOff>57150</xdr:rowOff>
    </xdr:to>
    <xdr:sp macro="" textlink="">
      <xdr:nvSpPr>
        <xdr:cNvPr id="1261" name="Line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V="1">
          <a:off x="878935" y="5886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580214</xdr:colOff>
      <xdr:row>42</xdr:row>
      <xdr:rowOff>104775</xdr:rowOff>
    </xdr:from>
    <xdr:to>
      <xdr:col>0</xdr:col>
      <xdr:colOff>806517</xdr:colOff>
      <xdr:row>44</xdr:row>
      <xdr:rowOff>142875</xdr:rowOff>
    </xdr:to>
    <xdr:grpSp>
      <xdr:nvGrpSpPr>
        <xdr:cNvPr id="1262" name="Group 1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pSpPr>
          <a:grpSpLocks/>
        </xdr:cNvGrpSpPr>
      </xdr:nvGrpSpPr>
      <xdr:grpSpPr bwMode="auto">
        <a:xfrm>
          <a:off x="580214" y="6536055"/>
          <a:ext cx="226303" cy="342900"/>
          <a:chOff x="61" y="669"/>
          <a:chExt cx="25" cy="36"/>
        </a:xfrm>
      </xdr:grpSpPr>
      <xdr:sp macro="" textlink="">
        <xdr:nvSpPr>
          <xdr:cNvPr id="1289" name="AutoShape 10">
            <a:extLst>
              <a:ext uri="{FF2B5EF4-FFF2-40B4-BE49-F238E27FC236}">
                <a16:creationId xmlns:a16="http://schemas.microsoft.com/office/drawing/2014/main" id="{00000000-0008-0000-0000-000009050000}"/>
              </a:ext>
            </a:extLst>
          </xdr:cNvPr>
          <xdr:cNvSpPr>
            <a:spLocks noChangeArrowheads="1"/>
          </xdr:cNvSpPr>
        </xdr:nvSpPr>
        <xdr:spPr bwMode="auto">
          <a:xfrm>
            <a:off x="61" y="689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90" name="AutoShape 11">
            <a:extLst>
              <a:ext uri="{FF2B5EF4-FFF2-40B4-BE49-F238E27FC236}">
                <a16:creationId xmlns:a16="http://schemas.microsoft.com/office/drawing/2014/main" id="{00000000-0008-0000-0000-00000A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6" y="664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241976</xdr:colOff>
      <xdr:row>41</xdr:row>
      <xdr:rowOff>85725</xdr:rowOff>
    </xdr:from>
    <xdr:to>
      <xdr:col>4</xdr:col>
      <xdr:colOff>220156</xdr:colOff>
      <xdr:row>43</xdr:row>
      <xdr:rowOff>95250</xdr:rowOff>
    </xdr:to>
    <xdr:grpSp>
      <xdr:nvGrpSpPr>
        <xdr:cNvPr id="1263" name="Group 1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GrpSpPr>
          <a:grpSpLocks/>
        </xdr:cNvGrpSpPr>
      </xdr:nvGrpSpPr>
      <xdr:grpSpPr bwMode="auto">
        <a:xfrm flipH="1" flipV="1">
          <a:off x="1537376" y="6364605"/>
          <a:ext cx="222020" cy="314325"/>
          <a:chOff x="57" y="681"/>
          <a:chExt cx="26" cy="33"/>
        </a:xfrm>
      </xdr:grpSpPr>
      <xdr:sp macro="" textlink="">
        <xdr:nvSpPr>
          <xdr:cNvPr id="1287" name="AutoShape 14">
            <a:extLst>
              <a:ext uri="{FF2B5EF4-FFF2-40B4-BE49-F238E27FC236}">
                <a16:creationId xmlns:a16="http://schemas.microsoft.com/office/drawing/2014/main" id="{00000000-0008-0000-0000-000007050000}"/>
              </a:ext>
            </a:extLst>
          </xdr:cNvPr>
          <xdr:cNvSpPr>
            <a:spLocks noChangeArrowheads="1"/>
          </xdr:cNvSpPr>
        </xdr:nvSpPr>
        <xdr:spPr bwMode="auto">
          <a:xfrm>
            <a:off x="57" y="698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8" name="AutoShape 15">
            <a:extLst>
              <a:ext uri="{FF2B5EF4-FFF2-40B4-BE49-F238E27FC236}">
                <a16:creationId xmlns:a16="http://schemas.microsoft.com/office/drawing/2014/main" id="{00000000-0008-0000-0000-000008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3" y="676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103426</xdr:colOff>
      <xdr:row>45</xdr:row>
      <xdr:rowOff>61912</xdr:rowOff>
    </xdr:from>
    <xdr:to>
      <xdr:col>3</xdr:col>
      <xdr:colOff>135919</xdr:colOff>
      <xdr:row>46</xdr:row>
      <xdr:rowOff>147637</xdr:rowOff>
    </xdr:to>
    <xdr:grpSp>
      <xdr:nvGrpSpPr>
        <xdr:cNvPr id="1264" name="Group 1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GrpSpPr>
          <a:grpSpLocks/>
        </xdr:cNvGrpSpPr>
      </xdr:nvGrpSpPr>
      <xdr:grpSpPr bwMode="auto">
        <a:xfrm rot="5400000" flipH="1" flipV="1">
          <a:off x="1196950" y="6938908"/>
          <a:ext cx="238125" cy="261093"/>
          <a:chOff x="63" y="627"/>
          <a:chExt cx="25" cy="39"/>
        </a:xfrm>
      </xdr:grpSpPr>
      <xdr:sp macro="" textlink="">
        <xdr:nvSpPr>
          <xdr:cNvPr id="1285" name="AutoShape 17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SpPr>
            <a:spLocks noChangeArrowheads="1"/>
          </xdr:cNvSpPr>
        </xdr:nvSpPr>
        <xdr:spPr bwMode="auto">
          <a:xfrm>
            <a:off x="63" y="650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6" name="AutoShape 18">
            <a:extLst>
              <a:ext uri="{FF2B5EF4-FFF2-40B4-BE49-F238E27FC236}">
                <a16:creationId xmlns:a16="http://schemas.microsoft.com/office/drawing/2014/main" id="{00000000-0008-0000-0000-000006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8" y="622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64852</xdr:colOff>
      <xdr:row>40</xdr:row>
      <xdr:rowOff>4763</xdr:rowOff>
    </xdr:from>
    <xdr:to>
      <xdr:col>2</xdr:col>
      <xdr:colOff>115449</xdr:colOff>
      <xdr:row>41</xdr:row>
      <xdr:rowOff>90488</xdr:rowOff>
    </xdr:to>
    <xdr:grpSp>
      <xdr:nvGrpSpPr>
        <xdr:cNvPr id="1265" name="Group 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GrpSpPr>
          <a:grpSpLocks/>
        </xdr:cNvGrpSpPr>
      </xdr:nvGrpSpPr>
      <xdr:grpSpPr bwMode="auto">
        <a:xfrm rot="5400000">
          <a:off x="938828" y="6110707"/>
          <a:ext cx="238125" cy="279197"/>
          <a:chOff x="65" y="649"/>
          <a:chExt cx="25" cy="43"/>
        </a:xfrm>
      </xdr:grpSpPr>
      <xdr:sp macro="" textlink="">
        <xdr:nvSpPr>
          <xdr:cNvPr id="1283" name="AutoShape 20">
            <a:extLst>
              <a:ext uri="{FF2B5EF4-FFF2-40B4-BE49-F238E27FC236}">
                <a16:creationId xmlns:a16="http://schemas.microsoft.com/office/drawing/2014/main" id="{00000000-0008-0000-0000-000003050000}"/>
              </a:ext>
            </a:extLst>
          </xdr:cNvPr>
          <xdr:cNvSpPr>
            <a:spLocks noChangeArrowheads="1"/>
          </xdr:cNvSpPr>
        </xdr:nvSpPr>
        <xdr:spPr bwMode="auto">
          <a:xfrm>
            <a:off x="66" y="676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4" name="AutoShape 21">
            <a:extLst>
              <a:ext uri="{FF2B5EF4-FFF2-40B4-BE49-F238E27FC236}">
                <a16:creationId xmlns:a16="http://schemas.microsoft.com/office/drawing/2014/main" id="{00000000-0008-0000-0000-000004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70" y="644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189893</xdr:colOff>
      <xdr:row>46</xdr:row>
      <xdr:rowOff>49247</xdr:rowOff>
    </xdr:from>
    <xdr:to>
      <xdr:col>4</xdr:col>
      <xdr:colOff>66678</xdr:colOff>
      <xdr:row>48</xdr:row>
      <xdr:rowOff>2</xdr:rowOff>
    </xdr:to>
    <xdr:grpSp>
      <xdr:nvGrpSpPr>
        <xdr:cNvPr id="1270" name="Group 3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GrpSpPr>
          <a:grpSpLocks/>
        </xdr:cNvGrpSpPr>
      </xdr:nvGrpSpPr>
      <xdr:grpSpPr bwMode="auto">
        <a:xfrm rot="16200000">
          <a:off x="1425448" y="7165212"/>
          <a:ext cx="255555" cy="105385"/>
          <a:chOff x="178" y="725"/>
          <a:chExt cx="27" cy="18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1272" name="Rectangle 3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726"/>
            <a:ext cx="27" cy="17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73" name="Line 35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8" y="725"/>
            <a:ext cx="27" cy="17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4" name="Line 36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SpPr>
            <a:spLocks noChangeShapeType="1"/>
          </xdr:cNvSpPr>
        </xdr:nvSpPr>
        <xdr:spPr bwMode="auto">
          <a:xfrm>
            <a:off x="178" y="726"/>
            <a:ext cx="27" cy="17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129664</xdr:colOff>
      <xdr:row>38</xdr:row>
      <xdr:rowOff>80011</xdr:rowOff>
    </xdr:from>
    <xdr:to>
      <xdr:col>10</xdr:col>
      <xdr:colOff>180261</xdr:colOff>
      <xdr:row>44</xdr:row>
      <xdr:rowOff>51436</xdr:rowOff>
    </xdr:to>
    <xdr:sp macro="" textlink="">
      <xdr:nvSpPr>
        <xdr:cNvPr id="20" name="AutoShape 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 rot="16200000">
          <a:off x="2726712" y="6198338"/>
          <a:ext cx="885825" cy="307772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North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37723</xdr:colOff>
      <xdr:row>26</xdr:row>
      <xdr:rowOff>28293</xdr:rowOff>
    </xdr:from>
    <xdr:to>
      <xdr:col>23</xdr:col>
      <xdr:colOff>433812</xdr:colOff>
      <xdr:row>34</xdr:row>
      <xdr:rowOff>122599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234035" y="3762847"/>
          <a:ext cx="1207128" cy="1225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Pre 1 = RR1</a:t>
          </a:r>
        </a:p>
        <a:p>
          <a:r>
            <a:rPr lang="en-US" sz="1100"/>
            <a:t>Pre 2 = RR2</a:t>
          </a:r>
        </a:p>
        <a:p>
          <a:r>
            <a:rPr lang="en-US" sz="1100"/>
            <a:t>Pre 3 = EVA</a:t>
          </a:r>
        </a:p>
        <a:p>
          <a:r>
            <a:rPr lang="en-US" sz="1100"/>
            <a:t>Pre 4 = EVB</a:t>
          </a:r>
        </a:p>
        <a:p>
          <a:r>
            <a:rPr lang="en-US" sz="1100"/>
            <a:t>Pre 5 = EVC</a:t>
          </a:r>
        </a:p>
        <a:p>
          <a:r>
            <a:rPr lang="en-US" sz="1100"/>
            <a:t>Pre 6 = EVD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68580</xdr:colOff>
      <xdr:row>27</xdr:row>
      <xdr:rowOff>38100</xdr:rowOff>
    </xdr:from>
    <xdr:to>
      <xdr:col>35</xdr:col>
      <xdr:colOff>259080</xdr:colOff>
      <xdr:row>34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840980" y="4152900"/>
          <a:ext cx="1554480" cy="1082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C00000"/>
              </a:solidFill>
            </a:rPr>
            <a:t>NOTE: </a:t>
          </a:r>
          <a:r>
            <a:rPr lang="en-US" sz="1100">
              <a:solidFill>
                <a:srgbClr val="C00000"/>
              </a:solidFill>
            </a:rPr>
            <a:t>% and MI parameters are not used</a:t>
          </a:r>
          <a:r>
            <a:rPr lang="en-US" sz="1100" baseline="0">
              <a:solidFill>
                <a:srgbClr val="C00000"/>
              </a:solidFill>
            </a:rPr>
            <a:t> and are not shown above.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3" backgroundRefresh="0" connectionId="28" xr16:uid="{00000000-0016-0000-0D00-000007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9" backgroundRefresh="0" connectionId="24" xr16:uid="{00000000-0016-0000-0D00-000016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8" backgroundRefresh="0" refreshOnLoad="1" connectionId="34" xr16:uid="{00000000-0016-0000-0D00-00001C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0" backgroundRefresh="0" connectionId="3" xr16:uid="{00000000-0016-0000-0D00-00000F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" backgroundRefresh="0" connectionId="2" xr16:uid="{00000000-0016-0000-0D00-000014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6" backgroundRefresh="0" connectionId="20" xr16:uid="{00000000-0016-0000-0D00-00000C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9" backgroundRefresh="0" connectionId="13" xr16:uid="{00000000-0016-0000-0D00-000015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" backgroundRefresh="0" connectionId="23" xr16:uid="{00000000-0016-0000-0D00-000011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5" backgroundRefresh="0" connectionId="8" xr16:uid="{00000000-0016-0000-0D00-000001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2" backgroundRefresh="0" connectionId="5" xr16:uid="{00000000-0016-0000-0D00-000021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1" backgroundRefresh="0" connectionId="15" xr16:uid="{00000000-0016-0000-0D00-000013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4" backgroundRefresh="0" connectionId="29" xr16:uid="{00000000-0016-0000-0D00-000008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0" backgroundRefresh="0" connectionId="25" xr16:uid="{00000000-0016-0000-0D00-000019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7" backgroundRefresh="0" connectionId="33" xr16:uid="{00000000-0016-0000-0D00-00001B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8" backgroundRefresh="0" connectionId="22" xr16:uid="{00000000-0016-0000-0D00-00000A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4" backgroundRefresh="0" connectionId="30" xr16:uid="{00000000-0016-0000-0D00-000022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5" backgroundRefresh="0" connectionId="19" xr16:uid="{00000000-0016-0000-0D00-00001F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1" backgroundRefresh="0" connectionId="4" xr16:uid="{00000000-0016-0000-0D00-00001A00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6" backgroundRefresh="0" connectionId="9" xr16:uid="{00000000-0016-0000-0D00-00000600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" backgroundRefresh="0" connectionId="1" xr16:uid="{00000000-0016-0000-0D00-000018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1" backgroundRefresh="0" connectionId="26" xr16:uid="{00000000-0016-0000-0D00-00001E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2" backgroundRefresh="0" connectionId="16" xr16:uid="{00000000-0016-0000-0D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7" backgroundRefresh="0" connectionId="10" xr16:uid="{00000000-0016-0000-0D00-00000E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" backgroundRefresh="0" connectionId="12" xr16:uid="{00000000-0016-0000-0D00-00001200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9" backgroundRefresh="0" connectionId="35" xr16:uid="{00000000-0016-0000-0D00-00001D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4" backgroundRefresh="0" connectionId="7" xr16:uid="{00000000-0016-0000-0D00-000004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7" backgroundRefresh="0" connectionId="21" xr16:uid="{00000000-0016-0000-0D00-000020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3" backgroundRefresh="0" connectionId="6" xr16:uid="{00000000-0016-0000-0D00-000009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0" backgroundRefresh="0" connectionId="14" xr16:uid="{00000000-0016-0000-0D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2" backgroundRefresh="0" connectionId="27" xr16:uid="{00000000-0016-0000-0D00-000017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8" backgroundRefresh="0" connectionId="11" xr16:uid="{00000000-0016-0000-0D00-000002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4" backgroundRefresh="0" connectionId="18" xr16:uid="{00000000-0016-0000-0D00-000010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6" backgroundRefresh="0" connectionId="32" xr16:uid="{00000000-0016-0000-0D00-000005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3" backgroundRefresh="0" connectionId="17" xr16:uid="{00000000-0016-0000-0D00-00000B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5" backgroundRefresh="0" connectionId="31" xr16:uid="{00000000-0016-0000-0D00-00000D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tabColor indexed="61"/>
    <pageSetUpPr fitToPage="1"/>
  </sheetPr>
  <dimension ref="A1:BH54"/>
  <sheetViews>
    <sheetView tabSelected="1" zoomScaleNormal="100" zoomScaleSheetLayoutView="101" workbookViewId="0">
      <selection activeCell="AG1" sqref="AG1:AN6"/>
    </sheetView>
  </sheetViews>
  <sheetFormatPr defaultColWidth="9.109375" defaultRowHeight="21.9" customHeight="1"/>
  <cols>
    <col min="1" max="1" width="12.44140625" style="5" customWidth="1"/>
    <col min="2" max="11" width="3.33203125" style="5" customWidth="1"/>
    <col min="12" max="12" width="11.44140625" style="5" bestFit="1" customWidth="1"/>
    <col min="13" max="22" width="3.33203125" style="38" customWidth="1"/>
    <col min="23" max="23" width="3.5546875" style="38" customWidth="1"/>
    <col min="24" max="24" width="5.109375" style="38" customWidth="1"/>
    <col min="25" max="32" width="3.5546875" style="38" customWidth="1"/>
    <col min="33" max="33" width="3.44140625" style="38" customWidth="1"/>
    <col min="34" max="34" width="3.5546875" style="38" customWidth="1"/>
    <col min="35" max="40" width="3.44140625" style="5" customWidth="1"/>
    <col min="41" max="41" width="4" style="5" customWidth="1"/>
    <col min="42" max="52" width="5.6640625" style="4" customWidth="1"/>
    <col min="53" max="16384" width="9.109375" style="5"/>
  </cols>
  <sheetData>
    <row r="1" spans="1:60" ht="13.5" customHeight="1">
      <c r="A1" s="1605" t="s">
        <v>136</v>
      </c>
      <c r="B1" s="1607" t="str">
        <f>VLOOKUP("Direction",Data!$A$206:$I$206,2,FALSE)</f>
        <v>NL</v>
      </c>
      <c r="C1" s="1607" t="str">
        <f>VLOOKUP("Direction",Data!$A$206:$I$206,3,FALSE)</f>
        <v>ST</v>
      </c>
      <c r="D1" s="1607" t="str">
        <f>VLOOKUP("Direction",Data!$A$206:$I$206,4,FALSE)</f>
        <v>EL</v>
      </c>
      <c r="E1" s="1607" t="str">
        <f>VLOOKUP("Direction",Data!$A$206:$I$206,5,FALSE)</f>
        <v>WT</v>
      </c>
      <c r="F1" s="1607" t="str">
        <f>VLOOKUP("Direction",Data!$A$206:$I$206,6,FALSE)</f>
        <v>SL</v>
      </c>
      <c r="G1" s="1607" t="str">
        <f>VLOOKUP("Direction",Data!$A$206:$I$206,7,FALSE)</f>
        <v>NT</v>
      </c>
      <c r="H1" s="1607" t="str">
        <f>VLOOKUP("Direction",Data!$A$206:$I$206,8,FALSE)</f>
        <v>WL</v>
      </c>
      <c r="I1" s="1607" t="str">
        <f>VLOOKUP("Direction",Data!$A$206:$I$206,9,FALSE)</f>
        <v>ET</v>
      </c>
      <c r="J1" s="1607" t="str">
        <f>VLOOKUP("Direction",Data!$A$206:$K$206,10,FALSE)</f>
        <v xml:space="preserve"> </v>
      </c>
      <c r="K1" s="1629" t="str">
        <f>VLOOKUP("Direction",Data!$A$206:$K$206,11,FALSE)</f>
        <v xml:space="preserve"> </v>
      </c>
      <c r="L1" s="1625" t="s">
        <v>137</v>
      </c>
      <c r="M1" s="1416"/>
      <c r="N1" s="1416"/>
      <c r="O1" s="1416"/>
      <c r="P1" s="1416"/>
      <c r="Q1" s="1416"/>
      <c r="R1" s="1416"/>
      <c r="S1" s="1416"/>
      <c r="T1" s="1416"/>
      <c r="U1" s="1416"/>
      <c r="V1" s="1417"/>
      <c r="W1" s="1634" t="s">
        <v>160</v>
      </c>
      <c r="X1" s="1634"/>
      <c r="Y1" s="1634"/>
      <c r="Z1" s="1634"/>
      <c r="AA1" s="1634"/>
      <c r="AB1" s="1634"/>
      <c r="AC1" s="1634"/>
      <c r="AD1" s="1634"/>
      <c r="AE1" s="1634"/>
      <c r="AF1" s="1635"/>
      <c r="AG1" s="2689" t="s">
        <v>4000</v>
      </c>
      <c r="AH1" s="2690"/>
      <c r="AI1" s="2690"/>
      <c r="AJ1" s="2690"/>
      <c r="AK1" s="2690"/>
      <c r="AL1" s="2690"/>
      <c r="AM1" s="2690"/>
      <c r="AN1" s="2691"/>
      <c r="AO1" s="3"/>
    </row>
    <row r="2" spans="1:60" ht="13.5" customHeight="1" thickBot="1">
      <c r="A2" s="1606"/>
      <c r="B2" s="1608"/>
      <c r="C2" s="1608"/>
      <c r="D2" s="1608"/>
      <c r="E2" s="1608"/>
      <c r="F2" s="1608"/>
      <c r="G2" s="1608"/>
      <c r="H2" s="1608"/>
      <c r="I2" s="1608"/>
      <c r="J2" s="1608"/>
      <c r="K2" s="1630"/>
      <c r="L2" s="1626"/>
      <c r="M2" s="1627"/>
      <c r="N2" s="1627"/>
      <c r="O2" s="1627"/>
      <c r="P2" s="1627"/>
      <c r="Q2" s="1627"/>
      <c r="R2" s="1627"/>
      <c r="S2" s="1627"/>
      <c r="T2" s="1627"/>
      <c r="U2" s="1627"/>
      <c r="V2" s="1628"/>
      <c r="W2" s="1636"/>
      <c r="X2" s="1636"/>
      <c r="Y2" s="1636"/>
      <c r="Z2" s="1636"/>
      <c r="AA2" s="1636"/>
      <c r="AB2" s="1636"/>
      <c r="AC2" s="1636"/>
      <c r="AD2" s="1636"/>
      <c r="AE2" s="1636"/>
      <c r="AF2" s="1637"/>
      <c r="AG2" s="2692"/>
      <c r="AH2" s="2693"/>
      <c r="AI2" s="2693"/>
      <c r="AJ2" s="2693"/>
      <c r="AK2" s="2693"/>
      <c r="AL2" s="2693"/>
      <c r="AM2" s="2693"/>
      <c r="AN2" s="2694"/>
      <c r="AO2" s="3"/>
    </row>
    <row r="3" spans="1:60" ht="12" customHeight="1" thickTop="1" thickBot="1">
      <c r="A3" s="234" t="s">
        <v>138</v>
      </c>
      <c r="B3" s="235">
        <v>1</v>
      </c>
      <c r="C3" s="235">
        <v>2</v>
      </c>
      <c r="D3" s="235">
        <v>3</v>
      </c>
      <c r="E3" s="236">
        <v>4</v>
      </c>
      <c r="F3" s="237">
        <v>5</v>
      </c>
      <c r="G3" s="235">
        <v>6</v>
      </c>
      <c r="H3" s="235">
        <v>7</v>
      </c>
      <c r="I3" s="498">
        <v>8</v>
      </c>
      <c r="J3" s="500">
        <v>9</v>
      </c>
      <c r="K3" s="1143">
        <v>10</v>
      </c>
      <c r="L3" s="1164" t="s">
        <v>141</v>
      </c>
      <c r="M3" s="1159">
        <v>1</v>
      </c>
      <c r="N3" s="1160">
        <v>2</v>
      </c>
      <c r="O3" s="1160">
        <v>3</v>
      </c>
      <c r="P3" s="1160">
        <v>4</v>
      </c>
      <c r="Q3" s="1160">
        <v>5</v>
      </c>
      <c r="R3" s="1160">
        <v>6</v>
      </c>
      <c r="S3" s="1160">
        <v>7</v>
      </c>
      <c r="T3" s="1161">
        <v>8</v>
      </c>
      <c r="U3" s="1162">
        <v>9</v>
      </c>
      <c r="V3" s="1163">
        <v>10</v>
      </c>
      <c r="W3" s="1638" t="s">
        <v>1064</v>
      </c>
      <c r="X3" s="1639"/>
      <c r="Y3" s="1639"/>
      <c r="Z3" s="1640">
        <f>VLOOKUP("Screen Size",Data!$A:$I, 2,FALSE)</f>
        <v>8</v>
      </c>
      <c r="AA3" s="1641" t="e">
        <f ca="1">VLOOKUP("Start Yel", Phase_Entries_Plus, 2)</f>
        <v>#REF!</v>
      </c>
      <c r="AB3" s="1642" t="s">
        <v>1065</v>
      </c>
      <c r="AC3" s="1643"/>
      <c r="AD3" s="1643"/>
      <c r="AE3" s="1644" t="s">
        <v>703</v>
      </c>
      <c r="AF3" s="1645"/>
      <c r="AG3" s="2693"/>
      <c r="AH3" s="2693"/>
      <c r="AI3" s="2693"/>
      <c r="AJ3" s="2693"/>
      <c r="AK3" s="2693"/>
      <c r="AL3" s="2693"/>
      <c r="AM3" s="2693"/>
      <c r="AN3" s="2694"/>
      <c r="AO3" s="3"/>
      <c r="AP3" s="6" t="s">
        <v>140</v>
      </c>
      <c r="AQ3" s="7"/>
      <c r="AR3" s="7"/>
      <c r="AU3" s="8"/>
      <c r="AV3" s="8"/>
      <c r="AW3" s="8"/>
      <c r="AX3" s="8"/>
      <c r="AY3" s="9"/>
      <c r="AZ3" s="9"/>
      <c r="BA3" s="10"/>
      <c r="BB3" s="10"/>
      <c r="BC3" s="10"/>
      <c r="BD3" s="10"/>
      <c r="BE3" s="10"/>
      <c r="BF3" s="10"/>
      <c r="BG3" s="10"/>
      <c r="BH3" s="10"/>
    </row>
    <row r="4" spans="1:60" ht="12" customHeight="1" thickTop="1">
      <c r="A4" s="299" t="s">
        <v>116</v>
      </c>
      <c r="B4" s="585">
        <f>VLOOKUP("Min Green",Data!$A$1523:$I$1569,2,FALSE)</f>
        <v>0</v>
      </c>
      <c r="C4" s="581">
        <f>VLOOKUP("Min Green",Data!$A$1523:$I$1569,3,FALSE)</f>
        <v>0</v>
      </c>
      <c r="D4" s="585">
        <f>VLOOKUP("Min Green",Data!$A$1523:$I$1569,4,FALSE)</f>
        <v>0</v>
      </c>
      <c r="E4" s="581">
        <f>VLOOKUP("Min Green",Data!$A$1523:$I$1569,5,FALSE)</f>
        <v>0</v>
      </c>
      <c r="F4" s="585">
        <f>VLOOKUP("Min Green",Data!$A$1523:$I$1569,6,FALSE)</f>
        <v>0</v>
      </c>
      <c r="G4" s="581">
        <f>VLOOKUP("Min Green",Data!$A$1523:$I$1569,7,FALSE)</f>
        <v>0</v>
      </c>
      <c r="H4" s="585">
        <f>VLOOKUP("Min Green",Data!$A$1523:$I$1569,8,FALSE)</f>
        <v>0</v>
      </c>
      <c r="I4" s="581">
        <f>VLOOKUP("Min Green",Data!$A$1523:$I$1569,9,FALSE)</f>
        <v>0</v>
      </c>
      <c r="J4" s="585">
        <f>VLOOKUP("Min Green",Data!$A$1523:$K$1569,10,FALSE)</f>
        <v>0</v>
      </c>
      <c r="K4" s="1144">
        <f>VLOOKUP("Min Green",Data!$A$1523:$K$1569,11,FALSE)</f>
        <v>0</v>
      </c>
      <c r="L4" s="1147" t="s">
        <v>48</v>
      </c>
      <c r="M4" s="608" t="str">
        <f>IF(VLOOKUP("Reservice",Data!$A1605:$I1648,2,FALSE)= "On", "X", " ")</f>
        <v xml:space="preserve"> </v>
      </c>
      <c r="N4" s="609" t="str">
        <f>IF(VLOOKUP("Reservice",Data!$A1605:$I1648,3,FALSE)= "On", "X", " ")</f>
        <v xml:space="preserve"> </v>
      </c>
      <c r="O4" s="609" t="str">
        <f>IF(VLOOKUP("Reservice",Data!$A1605:$I1648,4,FALSE)= "On", "X", " ")</f>
        <v xml:space="preserve"> </v>
      </c>
      <c r="P4" s="609" t="str">
        <f>IF(VLOOKUP("Reservice",Data!$A1605:$I1648,5,FALSE)= "On", "X", " ")</f>
        <v xml:space="preserve"> </v>
      </c>
      <c r="Q4" s="609" t="str">
        <f>IF(VLOOKUP("Reservice",Data!$A1605:$I1648,6,FALSE)= "On", "X", " ")</f>
        <v xml:space="preserve"> </v>
      </c>
      <c r="R4" s="609" t="str">
        <f>IF(VLOOKUP("Reservice",Data!$A1605:$I1648,7,FALSE)= "On", "X", " ")</f>
        <v xml:space="preserve"> </v>
      </c>
      <c r="S4" s="609" t="str">
        <f>IF(VLOOKUP("Reservice",Data!$A1605:$I1648,8,FALSE)= "On", "X", " ")</f>
        <v xml:space="preserve"> </v>
      </c>
      <c r="T4" s="609" t="str">
        <f>IF(VLOOKUP("Reservice",Data!$A1605:$I1648,9,FALSE)= "On", "X", " ")</f>
        <v xml:space="preserve"> </v>
      </c>
      <c r="U4" s="609" t="str">
        <f>IF(VLOOKUP("Reservice",Data!$A1605:$K1648,10,FALSE)= "On", "X", " ")</f>
        <v xml:space="preserve"> </v>
      </c>
      <c r="V4" s="1148" t="str">
        <f>IF(VLOOKUP("Reservice",Data!$A1605:$K1648,11,FALSE)= "On", "X", " ")</f>
        <v xml:space="preserve"> </v>
      </c>
      <c r="W4" s="1435" t="s">
        <v>627</v>
      </c>
      <c r="X4" s="1436"/>
      <c r="Y4" s="1436"/>
      <c r="Z4" s="1597">
        <f>VLOOKUP("StartUp Flash",Data!$A:$I, 2,FALSE)</f>
        <v>0</v>
      </c>
      <c r="AA4" s="1598" t="e">
        <f ca="1">VLOOKUP("Start Yel", Phase_Entries_Plus, 2)</f>
        <v>#REF!</v>
      </c>
      <c r="AB4" s="1646" t="s">
        <v>120</v>
      </c>
      <c r="AC4" s="1647"/>
      <c r="AD4" s="1647"/>
      <c r="AE4" s="1597">
        <f>VLOOKUP("Red Revert",Data!$A2819:$I2819, 2,FALSE)</f>
        <v>2</v>
      </c>
      <c r="AF4" s="1598" t="e">
        <f ca="1">VLOOKUP("Start Yel", Phase_Entries_Plus, 2)</f>
        <v>#REF!</v>
      </c>
      <c r="AG4" s="2693"/>
      <c r="AH4" s="2693"/>
      <c r="AI4" s="2693"/>
      <c r="AJ4" s="2693"/>
      <c r="AK4" s="2693"/>
      <c r="AL4" s="2693"/>
      <c r="AM4" s="2693"/>
      <c r="AN4" s="2694"/>
      <c r="AO4" s="3"/>
      <c r="AP4" s="11" t="s">
        <v>635</v>
      </c>
      <c r="AQ4" s="11" t="str">
        <f>IF(OR(AP4="",ISNA(AP4)),"OFF",AP4)</f>
        <v>OFF</v>
      </c>
      <c r="AR4" s="12"/>
      <c r="AS4" s="13"/>
      <c r="AT4" s="13"/>
      <c r="AU4" s="14"/>
      <c r="AV4" s="14"/>
      <c r="AW4" s="8"/>
      <c r="AX4" s="8"/>
      <c r="AY4" s="9"/>
      <c r="AZ4" s="9"/>
      <c r="BA4" s="10"/>
      <c r="BB4" s="10"/>
      <c r="BC4" s="10"/>
      <c r="BD4" s="10"/>
      <c r="BE4" s="10"/>
      <c r="BF4" s="10"/>
      <c r="BG4" s="10"/>
      <c r="BH4" s="10"/>
    </row>
    <row r="5" spans="1:60" ht="12" customHeight="1">
      <c r="A5" s="300" t="s">
        <v>142</v>
      </c>
      <c r="B5" s="586">
        <f>VLOOKUP("Gap Ext",Data!$A$1523:$I$1569,2,FALSE)</f>
        <v>0</v>
      </c>
      <c r="C5" s="582">
        <f>VLOOKUP("Gap Ext",Data!$A$1523:$I$1569,3,FALSE)</f>
        <v>0</v>
      </c>
      <c r="D5" s="586">
        <f>VLOOKUP("Gap Ext",Data!$A$1523:$I$1569,4,FALSE)</f>
        <v>0</v>
      </c>
      <c r="E5" s="582">
        <f>VLOOKUP("Gap Ext",Data!$A$1523:$I$1569,5,FALSE)</f>
        <v>0</v>
      </c>
      <c r="F5" s="586">
        <f>VLOOKUP("Gap Ext",Data!$A$1523:$I$1569,6,FALSE)</f>
        <v>0</v>
      </c>
      <c r="G5" s="582">
        <f>VLOOKUP("Gap Ext",Data!$A$1523:$I$1569,7,FALSE)</f>
        <v>0</v>
      </c>
      <c r="H5" s="586">
        <f>VLOOKUP("Gap Ext",Data!$A$1523:$I$1569,8,FALSE)</f>
        <v>0</v>
      </c>
      <c r="I5" s="582">
        <f>VLOOKUP("Gap Ext",Data!$A$1523:$I$1569,9,FALSE)</f>
        <v>0</v>
      </c>
      <c r="J5" s="586">
        <f>VLOOKUP("Gap Ext",Data!$A$1523:$K$1569,10,FALSE)</f>
        <v>0</v>
      </c>
      <c r="K5" s="1145">
        <f>VLOOKUP("Gap Ext",Data!$A$1523:$K$1569,11,FALSE)</f>
        <v>0</v>
      </c>
      <c r="L5" s="1149" t="s">
        <v>143</v>
      </c>
      <c r="M5" s="593" t="str">
        <f>IF(VLOOKUP("Ped Clr Thru Yellow",Data!$A$1605:$I$1648,2,FALSE)= "On", "X", " ")</f>
        <v xml:space="preserve"> </v>
      </c>
      <c r="N5" s="593" t="str">
        <f>IF(VLOOKUP("Ped Clr Thru Yellow",Data!$A$1605:$I$1648,3,FALSE)= "On", "X", " ")</f>
        <v xml:space="preserve"> </v>
      </c>
      <c r="O5" s="593" t="str">
        <f>IF(VLOOKUP("Ped Clr Thru Yellow",Data!$A$1605:$I$1648,4,FALSE)= "On", "X", " ")</f>
        <v xml:space="preserve"> </v>
      </c>
      <c r="P5" s="593" t="str">
        <f>IF(VLOOKUP("Ped Clr Thru Yellow",Data!$A$1605:$I$1648,5,FALSE)= "On", "X", " ")</f>
        <v xml:space="preserve"> </v>
      </c>
      <c r="Q5" s="593" t="str">
        <f>IF(VLOOKUP("Ped Clr Thru Yellow",Data!$A$1605:$I$1648,6,FALSE)= "On", "X", " ")</f>
        <v xml:space="preserve"> </v>
      </c>
      <c r="R5" s="593" t="str">
        <f>IF(VLOOKUP("Ped Clr Thru Yellow",Data!$A$1605:$I$1648,7,FALSE)= "On", "X", " ")</f>
        <v xml:space="preserve"> </v>
      </c>
      <c r="S5" s="593" t="str">
        <f>IF(VLOOKUP("Ped Clr Thru Yellow",Data!$A$1605:$I$1648,8,FALSE)= "On", "X", " ")</f>
        <v xml:space="preserve"> </v>
      </c>
      <c r="T5" s="593" t="str">
        <f>IF(VLOOKUP("Ped Clr Thru Yellow",Data!$A$1605:$I$1648,9,FALSE)= "On", "X", " ")</f>
        <v xml:space="preserve"> </v>
      </c>
      <c r="U5" s="593" t="str">
        <f>IF(VLOOKUP("Ped Clr Thru Yellow",Data!$A$1605:$K$1648,10,FALSE)= "On", "X", " ")</f>
        <v xml:space="preserve"> </v>
      </c>
      <c r="V5" s="1150" t="str">
        <f>IF(VLOOKUP("Ped Clr Thru Yellow",Data!$A$1605:$K$1648,11,FALSE)= "On", "X", " ")</f>
        <v xml:space="preserve"> </v>
      </c>
      <c r="W5" s="1437" t="s">
        <v>171</v>
      </c>
      <c r="X5" s="1437"/>
      <c r="Y5" s="1438"/>
      <c r="Z5" s="1544">
        <f>VLOOKUP("MCE Timeout",Data!$A2816:$I2816,2,FALSE)</f>
        <v>0</v>
      </c>
      <c r="AA5" s="1545"/>
      <c r="AB5" s="1585" t="s">
        <v>128</v>
      </c>
      <c r="AC5" s="1439"/>
      <c r="AD5" s="1440"/>
      <c r="AE5" s="1586" t="str">
        <f>VLOOKUP("Auto Ped Clear",Data!$A2810:$I2810, 2,FALSE)</f>
        <v>OFF</v>
      </c>
      <c r="AF5" s="1587"/>
      <c r="AG5" s="2693"/>
      <c r="AH5" s="2693"/>
      <c r="AI5" s="2693"/>
      <c r="AJ5" s="2693"/>
      <c r="AK5" s="2693"/>
      <c r="AL5" s="2693"/>
      <c r="AM5" s="2693"/>
      <c r="AN5" s="2694"/>
      <c r="AO5" s="3"/>
      <c r="AP5" s="15"/>
      <c r="AQ5" s="8"/>
      <c r="AR5" s="8"/>
      <c r="AS5" s="8"/>
      <c r="AT5" s="8"/>
      <c r="AU5" s="8"/>
      <c r="AV5" s="8"/>
      <c r="AW5" s="8"/>
      <c r="AX5" s="8"/>
      <c r="AY5" s="9"/>
      <c r="AZ5" s="9"/>
      <c r="BA5" s="10"/>
      <c r="BB5" s="10"/>
      <c r="BC5" s="10"/>
      <c r="BD5" s="10"/>
      <c r="BE5" s="10"/>
      <c r="BF5" s="10"/>
      <c r="BG5" s="10"/>
      <c r="BH5" s="10"/>
    </row>
    <row r="6" spans="1:60" ht="12" customHeight="1">
      <c r="A6" s="300" t="s">
        <v>38</v>
      </c>
      <c r="B6" s="586">
        <f>VLOOKUP("Max1",Data!$A$1523:$KI$1569,2,FALSE)</f>
        <v>0</v>
      </c>
      <c r="C6" s="582">
        <f>VLOOKUP("Max1",Data!$A$1523:$KI$1569,3,FALSE)</f>
        <v>0</v>
      </c>
      <c r="D6" s="586">
        <f>VLOOKUP("Max1",Data!$A$1523:$KI$1569,4,FALSE)</f>
        <v>0</v>
      </c>
      <c r="E6" s="582">
        <f>VLOOKUP("Max1",Data!$A$1523:$KI$1569,5,FALSE)</f>
        <v>0</v>
      </c>
      <c r="F6" s="586">
        <f>VLOOKUP("Max1",Data!$A$1523:$KI$1569,6,FALSE)</f>
        <v>0</v>
      </c>
      <c r="G6" s="582">
        <f>VLOOKUP("Max1",Data!$A$1523:$KI$1569,7,FALSE)</f>
        <v>0</v>
      </c>
      <c r="H6" s="586">
        <f>VLOOKUP("Max1",Data!$A$1523:$KI$1569,8,FALSE)</f>
        <v>0</v>
      </c>
      <c r="I6" s="582">
        <f>VLOOKUP("Max1",Data!$A$1523:$KI$1569,9,FALSE)</f>
        <v>0</v>
      </c>
      <c r="J6" s="586">
        <f>VLOOKUP("Max1",Data!$A$1523:$KI$1569,10,FALSE)</f>
        <v>0</v>
      </c>
      <c r="K6" s="1145">
        <f>VLOOKUP("Max1",Data!$A$1523:$KI$1569,11,FALSE)</f>
        <v>0</v>
      </c>
      <c r="L6" s="1151" t="s">
        <v>144</v>
      </c>
      <c r="M6" s="595" t="str">
        <f>IF(VLOOKUP("Skip Red-NoCall",Data!$A$1605:$K$1648,2,FALSE)= "On", "X", " ")</f>
        <v xml:space="preserve"> </v>
      </c>
      <c r="N6" s="595" t="str">
        <f>IF(VLOOKUP("Skip Red-NoCall",Data!$A$1605:$K$1648,3,FALSE)= "On", "X", " ")</f>
        <v xml:space="preserve"> </v>
      </c>
      <c r="O6" s="595" t="str">
        <f>IF(VLOOKUP("Skip Red-NoCall",Data!$A$1605:$K$1648,4,FALSE)= "On", "X", " ")</f>
        <v xml:space="preserve"> </v>
      </c>
      <c r="P6" s="595" t="str">
        <f>IF(VLOOKUP("Skip Red-NoCall",Data!$A$1605:$K$1648,5,FALSE)= "On", "X", " ")</f>
        <v xml:space="preserve"> </v>
      </c>
      <c r="Q6" s="595" t="str">
        <f>IF(VLOOKUP("Skip Red-NoCall",Data!$A$1605:$K$1648,6,FALSE)= "On", "X", " ")</f>
        <v xml:space="preserve"> </v>
      </c>
      <c r="R6" s="595" t="str">
        <f>IF(VLOOKUP("Skip Red-NoCall",Data!$A$1605:$K$1648,7,FALSE)= "On", "X", " ")</f>
        <v xml:space="preserve"> </v>
      </c>
      <c r="S6" s="595" t="str">
        <f>IF(VLOOKUP("Skip Red-NoCall",Data!$A$1605:$K$1648,8,FALSE)= "On", "X", " ")</f>
        <v xml:space="preserve"> </v>
      </c>
      <c r="T6" s="595" t="str">
        <f>IF(VLOOKUP("Skip Red-NoCall",Data!$A$1605:$K$1648,9,FALSE)= "On", "X", " ")</f>
        <v xml:space="preserve"> </v>
      </c>
      <c r="U6" s="595" t="str">
        <f>IF(VLOOKUP("Skip Red-NoCall",Data!$A$1605:$K$1648,10,FALSE)= "On", "X", " ")</f>
        <v xml:space="preserve"> </v>
      </c>
      <c r="V6" s="1152" t="str">
        <f>IF(VLOOKUP("Skip Red-NoCall",Data!$A$1605:$K$1648,11,FALSE)= "On", "X", " ")</f>
        <v xml:space="preserve"> </v>
      </c>
      <c r="W6" s="1439" t="s">
        <v>165</v>
      </c>
      <c r="X6" s="1439"/>
      <c r="Y6" s="1440"/>
      <c r="Z6" s="1556" t="str">
        <f>VLOOKUP("Local Flash Start",Data!$A2815:$I2815,2,FALSE)</f>
        <v>RSt</v>
      </c>
      <c r="AA6" s="1557"/>
      <c r="AB6" s="1553" t="s">
        <v>168</v>
      </c>
      <c r="AC6" s="1554"/>
      <c r="AD6" s="1555"/>
      <c r="AE6" s="1542">
        <f>VLOOKUP("Display Time",Data!$A:$I, 2,FALSE)</f>
        <v>60</v>
      </c>
      <c r="AF6" s="1543"/>
      <c r="AG6" s="2695"/>
      <c r="AH6" s="2695"/>
      <c r="AI6" s="2695"/>
      <c r="AJ6" s="2695"/>
      <c r="AK6" s="2695"/>
      <c r="AL6" s="2695"/>
      <c r="AM6" s="2695"/>
      <c r="AN6" s="2696"/>
      <c r="AO6" s="16"/>
      <c r="AP6" s="17"/>
      <c r="AQ6" s="17"/>
      <c r="AR6" s="17"/>
      <c r="AS6" s="17"/>
      <c r="AT6" s="17"/>
      <c r="AU6" s="17"/>
      <c r="AV6" s="17"/>
      <c r="AW6" s="17"/>
      <c r="AX6" s="18"/>
      <c r="AY6" s="9"/>
      <c r="AZ6" s="9"/>
      <c r="BA6" s="10"/>
      <c r="BB6" s="10"/>
      <c r="BC6" s="10"/>
      <c r="BD6" s="10"/>
      <c r="BE6" s="10"/>
      <c r="BF6" s="10"/>
      <c r="BG6" s="10"/>
      <c r="BH6" s="10"/>
    </row>
    <row r="7" spans="1:60" ht="12" customHeight="1">
      <c r="A7" s="300" t="s">
        <v>39</v>
      </c>
      <c r="B7" s="586">
        <f>VLOOKUP("Max2",Data!$A$1523:$KI$1569,2,FALSE)</f>
        <v>0</v>
      </c>
      <c r="C7" s="582">
        <f>VLOOKUP("Max2",Data!$A$1523:$KI$1569,3,FALSE)</f>
        <v>0</v>
      </c>
      <c r="D7" s="586">
        <f>VLOOKUP("Max2",Data!$A$1523:$KI$1569,4,FALSE)</f>
        <v>0</v>
      </c>
      <c r="E7" s="582">
        <f>VLOOKUP("Max2",Data!$A$1523:$KI$1569,5,FALSE)</f>
        <v>0</v>
      </c>
      <c r="F7" s="586">
        <f>VLOOKUP("Max2",Data!$A$1523:$KI$1569,6,FALSE)</f>
        <v>0</v>
      </c>
      <c r="G7" s="582">
        <f>VLOOKUP("Max2",Data!$A$1523:$KI$1569,7,FALSE)</f>
        <v>0</v>
      </c>
      <c r="H7" s="586">
        <f>VLOOKUP("Max2",Data!$A$1523:$KI$1569,8,FALSE)</f>
        <v>0</v>
      </c>
      <c r="I7" s="582">
        <f>VLOOKUP("Max2",Data!$A$1523:$KI$1569,9,FALSE)</f>
        <v>0</v>
      </c>
      <c r="J7" s="586">
        <f>VLOOKUP("Max2",Data!$A$1523:$KI$1569,10,FALSE)</f>
        <v>0</v>
      </c>
      <c r="K7" s="1145">
        <f>VLOOKUP("Max2",Data!$A$1523:$KI$1569,11,FALSE)</f>
        <v>0</v>
      </c>
      <c r="L7" s="1149" t="s">
        <v>126</v>
      </c>
      <c r="M7" s="593" t="str">
        <f>IF(VLOOKUP("Red Rest",Data!$A$1605:$K$1648,2,FALSE)= "On", "X", " ")</f>
        <v xml:space="preserve"> </v>
      </c>
      <c r="N7" s="593" t="str">
        <f>IF(VLOOKUP("Red Rest",Data!$A$1605:$K$1648,3,FALSE)= "On", "X", " ")</f>
        <v xml:space="preserve"> </v>
      </c>
      <c r="O7" s="593" t="str">
        <f>IF(VLOOKUP("Red Rest",Data!$A$1605:$K$1648,4,FALSE)= "On", "X", " ")</f>
        <v xml:space="preserve"> </v>
      </c>
      <c r="P7" s="593" t="str">
        <f>IF(VLOOKUP("Red Rest",Data!$A$1605:$K$1648,5,FALSE)= "On", "X", " ")</f>
        <v xml:space="preserve"> </v>
      </c>
      <c r="Q7" s="593" t="str">
        <f>IF(VLOOKUP("Red Rest",Data!$A$1605:$K$1648,6,FALSE)= "On", "X", " ")</f>
        <v xml:space="preserve"> </v>
      </c>
      <c r="R7" s="593" t="str">
        <f>IF(VLOOKUP("Red Rest",Data!$A$1605:$K$1648,7,FALSE)= "On", "X", " ")</f>
        <v xml:space="preserve"> </v>
      </c>
      <c r="S7" s="593" t="str">
        <f>IF(VLOOKUP("Red Rest",Data!$A$1605:$K$1648,8,FALSE)= "On", "X", " ")</f>
        <v xml:space="preserve"> </v>
      </c>
      <c r="T7" s="593" t="str">
        <f>IF(VLOOKUP("Red Rest",Data!$A$1605:$K$1648,9,FALSE)= "On", "X", " ")</f>
        <v xml:space="preserve"> </v>
      </c>
      <c r="U7" s="593" t="str">
        <f>IF(VLOOKUP("Red Rest",Data!$A$1605:$K$1648,10,FALSE)= "On", "X", " ")</f>
        <v xml:space="preserve"> </v>
      </c>
      <c r="V7" s="1150" t="str">
        <f>IF(VLOOKUP("Red Rest",Data!$A$1605:$K$1648,11,FALSE)= "On", "X", " ")</f>
        <v xml:space="preserve"> </v>
      </c>
      <c r="W7" s="1439" t="s">
        <v>636</v>
      </c>
      <c r="X7" s="1439"/>
      <c r="Y7" s="1440"/>
      <c r="Z7" s="1556" t="str">
        <f>VLOOKUP("Allow &lt; 3 sec Yel",Data!$A2808:$I2808, 2,FALSE)</f>
        <v>OFF</v>
      </c>
      <c r="AA7" s="1557"/>
      <c r="AB7" s="1553" t="s">
        <v>134</v>
      </c>
      <c r="AC7" s="1554"/>
      <c r="AD7" s="1555"/>
      <c r="AE7" s="1542" t="str">
        <f>VLOOKUP("Tone Disable",Data!$A:$I, 2,FALSE)</f>
        <v>ON</v>
      </c>
      <c r="AF7" s="1543"/>
      <c r="AG7" s="1588" t="s">
        <v>145</v>
      </c>
      <c r="AH7" s="1589"/>
      <c r="AI7" s="1589"/>
      <c r="AJ7" s="1589"/>
      <c r="AK7" s="1589"/>
      <c r="AL7" s="1589"/>
      <c r="AM7" s="1589"/>
      <c r="AN7" s="1590"/>
      <c r="AO7" s="19"/>
      <c r="AP7" s="20"/>
      <c r="AQ7" s="17"/>
      <c r="AR7" s="5"/>
      <c r="AS7" s="17"/>
      <c r="AT7" s="21"/>
      <c r="AU7" s="18"/>
      <c r="AV7" s="17"/>
      <c r="AW7" s="18"/>
      <c r="AX7" s="18"/>
      <c r="AY7" s="9"/>
      <c r="AZ7" s="9"/>
      <c r="BA7" s="10"/>
      <c r="BB7" s="10"/>
      <c r="BC7" s="10"/>
      <c r="BD7" s="10"/>
      <c r="BE7" s="10"/>
      <c r="BF7" s="10"/>
      <c r="BG7" s="10"/>
      <c r="BH7" s="10"/>
    </row>
    <row r="8" spans="1:60" ht="12" customHeight="1" thickBot="1">
      <c r="A8" s="300" t="s">
        <v>146</v>
      </c>
      <c r="B8" s="586">
        <f>VLOOKUP("Yellow Clr",Data!$A$1523:$KI$1569,2,FALSE)</f>
        <v>0</v>
      </c>
      <c r="C8" s="582">
        <f>VLOOKUP("Yellow Clr",Data!$A$1523:$KI$1569,3,FALSE)</f>
        <v>0</v>
      </c>
      <c r="D8" s="586">
        <f>VLOOKUP("Yellow Clr",Data!$A$1523:$KI$1569,4,FALSE)</f>
        <v>0</v>
      </c>
      <c r="E8" s="582">
        <f>VLOOKUP("Yellow Clr",Data!$A$1523:$KI$1569,5,FALSE)</f>
        <v>0</v>
      </c>
      <c r="F8" s="586">
        <f>VLOOKUP("Yellow Clr",Data!$A$1523:$KI$1569,6,FALSE)</f>
        <v>0</v>
      </c>
      <c r="G8" s="582">
        <f>VLOOKUP("Yellow Clr",Data!$A$1523:$KI$1569,7,FALSE)</f>
        <v>0</v>
      </c>
      <c r="H8" s="586">
        <f>VLOOKUP("Yellow Clr",Data!$A$1523:$KI$1569,8,FALSE)</f>
        <v>0</v>
      </c>
      <c r="I8" s="582">
        <f>VLOOKUP("Yellow Clr",Data!$A$1523:$KI$1569,9,FALSE)</f>
        <v>0</v>
      </c>
      <c r="J8" s="586">
        <f>VLOOKUP("Yellow Clr",Data!$A$1523:$KI$1569,10,FALSE)</f>
        <v>0</v>
      </c>
      <c r="K8" s="1145">
        <f>VLOOKUP("Yellow Clr",Data!$A$1523:$KI$1569,11,FALSE)</f>
        <v>0</v>
      </c>
      <c r="L8" s="1149" t="s">
        <v>149</v>
      </c>
      <c r="M8" s="596" t="str">
        <f>IF(VLOOKUP("Max 2",Data!$A$1605:$K$1648,2,FALSE)= "On", "X", " ")</f>
        <v xml:space="preserve"> </v>
      </c>
      <c r="N8" s="596" t="str">
        <f>IF(VLOOKUP("Max 2",Data!$A$1605:$K$1648,3,FALSE)= "On", "X", " ")</f>
        <v xml:space="preserve"> </v>
      </c>
      <c r="O8" s="596" t="str">
        <f>IF(VLOOKUP("Max 2",Data!$A$1605:$K$1648,4,FALSE)= "On", "X", " ")</f>
        <v xml:space="preserve"> </v>
      </c>
      <c r="P8" s="596" t="str">
        <f>IF(VLOOKUP("Max 2",Data!$A$1605:$K$1648,5,FALSE)= "On", "X", " ")</f>
        <v xml:space="preserve"> </v>
      </c>
      <c r="Q8" s="596" t="str">
        <f>IF(VLOOKUP("Max 2",Data!$A$1605:$K$1648,6,FALSE)= "On", "X", " ")</f>
        <v xml:space="preserve"> </v>
      </c>
      <c r="R8" s="596" t="str">
        <f>IF(VLOOKUP("Max 2",Data!$A$1605:$K$1648,7,FALSE)= "On", "X", " ")</f>
        <v xml:space="preserve"> </v>
      </c>
      <c r="S8" s="596" t="str">
        <f>IF(VLOOKUP("Max 2",Data!$A$1605:$K$1648,8,FALSE)= "On", "X", " ")</f>
        <v xml:space="preserve"> </v>
      </c>
      <c r="T8" s="596" t="str">
        <f>IF(VLOOKUP("Max 2",Data!$A$1605:$K$1648,9,FALSE)= "On", "X", " ")</f>
        <v xml:space="preserve"> </v>
      </c>
      <c r="U8" s="596" t="str">
        <f>IF(VLOOKUP("Max 2",Data!$A$1605:$K$1648,10,FALSE)= "On", "X", " ")</f>
        <v xml:space="preserve"> </v>
      </c>
      <c r="V8" s="1153" t="str">
        <f>IF(VLOOKUP("Max 2",Data!$A$1605:$K$1648,11,FALSE)= "On", "X", " ")</f>
        <v xml:space="preserve"> </v>
      </c>
      <c r="W8" s="1439" t="s">
        <v>179</v>
      </c>
      <c r="X8" s="1439"/>
      <c r="Y8" s="1440"/>
      <c r="Z8" s="1556" t="str">
        <f>VLOOKUP("Allow Skip Yel",Data!$A2809:$I2809, 2,FALSE)</f>
        <v>OFF</v>
      </c>
      <c r="AA8" s="1557"/>
      <c r="AB8" s="1553" t="s">
        <v>169</v>
      </c>
      <c r="AC8" s="1554"/>
      <c r="AD8" s="1555"/>
      <c r="AE8" s="1586">
        <f>VLOOKUP("AudioPedTime",Data!$A:$B, 2,FALSE)</f>
        <v>0</v>
      </c>
      <c r="AF8" s="1587"/>
      <c r="AG8" s="466" t="s">
        <v>139</v>
      </c>
      <c r="AH8" s="325" t="s">
        <v>122</v>
      </c>
      <c r="AI8" s="1591" t="s">
        <v>147</v>
      </c>
      <c r="AJ8" s="1591"/>
      <c r="AK8" s="1591"/>
      <c r="AL8" s="1591"/>
      <c r="AM8" s="1591"/>
      <c r="AN8" s="1592"/>
      <c r="AO8" s="19"/>
      <c r="AP8" s="17"/>
      <c r="AQ8" s="17"/>
      <c r="AR8" s="17"/>
      <c r="AS8" s="17"/>
      <c r="AT8" s="17"/>
      <c r="AU8" s="17"/>
      <c r="AV8" s="468"/>
      <c r="AW8" s="469"/>
      <c r="AX8" s="470"/>
      <c r="AY8" s="9"/>
      <c r="AZ8" s="9"/>
      <c r="BA8" s="10"/>
      <c r="BB8" s="10"/>
      <c r="BC8" s="10"/>
      <c r="BD8" s="10"/>
      <c r="BE8" s="10"/>
      <c r="BF8" s="10"/>
      <c r="BG8" s="10"/>
      <c r="BH8" s="10"/>
    </row>
    <row r="9" spans="1:60" ht="12" customHeight="1" thickTop="1">
      <c r="A9" s="300" t="s">
        <v>148</v>
      </c>
      <c r="B9" s="586">
        <f>VLOOKUP("Red Clr",Data!$A$1523:$KI$1569,2,FALSE)</f>
        <v>0</v>
      </c>
      <c r="C9" s="582">
        <f>VLOOKUP("Red Clr",Data!$A$1523:$KI$1569,3,FALSE)</f>
        <v>0</v>
      </c>
      <c r="D9" s="586">
        <f>VLOOKUP("Red Clr",Data!$A$1523:$KI$1569,4,FALSE)</f>
        <v>0</v>
      </c>
      <c r="E9" s="582">
        <f>VLOOKUP("Red Clr",Data!$A$1523:$KI$1569,5,FALSE)</f>
        <v>0</v>
      </c>
      <c r="F9" s="586">
        <f>VLOOKUP("Red Clr",Data!$A$1523:$KI$1569,6,FALSE)</f>
        <v>0</v>
      </c>
      <c r="G9" s="582">
        <f>VLOOKUP("Red Clr",Data!$A$1523:$KI$1569,7,FALSE)</f>
        <v>0</v>
      </c>
      <c r="H9" s="586">
        <f>VLOOKUP("Red Clr",Data!$A$1523:$KI$1569,8,FALSE)</f>
        <v>0</v>
      </c>
      <c r="I9" s="582">
        <f>VLOOKUP("Red Clr",Data!$A$1523:$KI$1569,9,FALSE)</f>
        <v>0</v>
      </c>
      <c r="J9" s="586">
        <f>VLOOKUP("Red Clr",Data!$A$1523:$KI$1569,10,FALSE)</f>
        <v>0</v>
      </c>
      <c r="K9" s="1145">
        <f>VLOOKUP("Red Clr",Data!$A$1523:$KI$1569,11,FALSE)</f>
        <v>0</v>
      </c>
      <c r="L9" s="1149" t="s">
        <v>1070</v>
      </c>
      <c r="M9" s="593" t="str">
        <f>IF(VLOOKUP("Max Inhibit",Data!$A$1605:$K$1648,2,FALSE)= "On", "X", " ")</f>
        <v xml:space="preserve"> </v>
      </c>
      <c r="N9" s="593" t="str">
        <f>IF(VLOOKUP("Max Inhibit",Data!$A$1605:$K$1648,3,FALSE)= "On", "X", " ")</f>
        <v xml:space="preserve"> </v>
      </c>
      <c r="O9" s="593" t="str">
        <f>IF(VLOOKUP("Max Inhibit",Data!$A$1605:$K$1648,4,FALSE)= "On", "X", " ")</f>
        <v xml:space="preserve"> </v>
      </c>
      <c r="P9" s="593" t="str">
        <f>IF(VLOOKUP("Max Inhibit",Data!$A$1605:$K$1648,5,FALSE)= "On", "X", " ")</f>
        <v xml:space="preserve"> </v>
      </c>
      <c r="Q9" s="593" t="str">
        <f>IF(VLOOKUP("Max Inhibit",Data!$A$1605:$K$1648,6,FALSE)= "On", "X", " ")</f>
        <v xml:space="preserve"> </v>
      </c>
      <c r="R9" s="593" t="str">
        <f>IF(VLOOKUP("Max Inhibit",Data!$A$1605:$K$1648,7,FALSE)= "On", "X", " ")</f>
        <v xml:space="preserve"> </v>
      </c>
      <c r="S9" s="593" t="str">
        <f>IF(VLOOKUP("Max Inhibit",Data!$A$1605:$K$1648,8,FALSE)= "On", "X", " ")</f>
        <v xml:space="preserve"> </v>
      </c>
      <c r="T9" s="593" t="str">
        <f>IF(VLOOKUP("Max Inhibit",Data!$A$1605:$K$1648,9,FALSE)= "On", "X", " ")</f>
        <v xml:space="preserve"> </v>
      </c>
      <c r="U9" s="593" t="str">
        <f>IF(VLOOKUP("Max Inhibit",Data!$A$1605:$K$1648,10,FALSE)= "On", "X", " ")</f>
        <v xml:space="preserve"> </v>
      </c>
      <c r="V9" s="1150" t="str">
        <f>IF(VLOOKUP("Max Inhibit",Data!$A$1605:$K$1648,11,FALSE)= "On", "X", " ")</f>
        <v xml:space="preserve"> </v>
      </c>
      <c r="W9" s="1439" t="s">
        <v>628</v>
      </c>
      <c r="X9" s="1439"/>
      <c r="Y9" s="1440"/>
      <c r="Z9" s="1556">
        <v>0</v>
      </c>
      <c r="AA9" s="1557"/>
      <c r="AB9" s="1652" t="s">
        <v>133</v>
      </c>
      <c r="AC9" s="1653"/>
      <c r="AD9" s="1654"/>
      <c r="AE9" s="1542" t="str">
        <f>VLOOKUP("Phase Mode",Data!$A2818:$I2818, 2,FALSE)</f>
        <v>STD8</v>
      </c>
      <c r="AF9" s="1543"/>
      <c r="AG9" s="1584">
        <v>1</v>
      </c>
      <c r="AH9" s="443">
        <v>1</v>
      </c>
      <c r="AI9" s="1320">
        <f>VLOOKUP("Ring P1",Data!$A$2190:$E$2200,2,FALSE)</f>
        <v>1</v>
      </c>
      <c r="AJ9" s="1320">
        <f>VLOOKUP("Ring P2",Data!$A$2190:$E$2200,2,FALSE)</f>
        <v>2</v>
      </c>
      <c r="AK9" s="1320">
        <f>VLOOKUP("Ring P3",Data!$A$2190:$E$2200,2,FALSE)</f>
        <v>3</v>
      </c>
      <c r="AL9" s="1320">
        <f>VLOOKUP("Ring P4",Data!$A$2190:$E$2200,2,FALSE)</f>
        <v>4</v>
      </c>
      <c r="AM9" s="1320">
        <f>VLOOKUP("Ring P5",Data!$A$2190:$E$2200,2,FALSE)</f>
        <v>0</v>
      </c>
      <c r="AN9" s="1321">
        <f>VLOOKUP("Ring P6",Data!$A$2190:$E$2200,2,FALSE)</f>
        <v>0</v>
      </c>
      <c r="AO9" s="22"/>
      <c r="AP9" s="20"/>
      <c r="AQ9" s="17"/>
      <c r="AR9" s="17"/>
      <c r="AS9" s="17"/>
      <c r="AT9" s="21"/>
      <c r="AU9" s="18"/>
      <c r="AV9" s="471"/>
      <c r="AW9" s="18"/>
      <c r="AX9" s="472"/>
      <c r="AY9" s="9"/>
      <c r="AZ9" s="9"/>
      <c r="BA9" s="10"/>
      <c r="BB9" s="10"/>
      <c r="BC9" s="10"/>
      <c r="BD9" s="10"/>
      <c r="BE9" s="10"/>
      <c r="BF9" s="10"/>
      <c r="BG9" s="10"/>
      <c r="BH9" s="10"/>
    </row>
    <row r="10" spans="1:60" ht="12" customHeight="1">
      <c r="A10" s="300" t="s">
        <v>42</v>
      </c>
      <c r="B10" s="587">
        <f>VLOOKUP("Walk",Data!$A$1523:$KI$1569,2,FALSE)</f>
        <v>0</v>
      </c>
      <c r="C10" s="583" t="s">
        <v>34</v>
      </c>
      <c r="D10" s="587">
        <f>VLOOKUP("Walk",Data!$A$1523:$KI$1569,4,FALSE)</f>
        <v>0</v>
      </c>
      <c r="E10" s="583">
        <f>VLOOKUP("Walk",Data!$A$1523:$KI$1569,5,FALSE)</f>
        <v>0</v>
      </c>
      <c r="F10" s="587">
        <f>VLOOKUP("Walk",Data!$A$1523:$KI$1569,6,FALSE)</f>
        <v>0</v>
      </c>
      <c r="G10" s="583">
        <f>VLOOKUP("Walk",Data!$A$1523:$KI$1569,7,FALSE)</f>
        <v>0</v>
      </c>
      <c r="H10" s="587">
        <f>VLOOKUP("Walk",Data!$A$1523:$KI$1569,8,FALSE)</f>
        <v>0</v>
      </c>
      <c r="I10" s="583">
        <f>VLOOKUP("Walk",Data!$A$1523:$KI$1569,9,FALSE)</f>
        <v>0</v>
      </c>
      <c r="J10" s="587">
        <f>VLOOKUP("Walk",Data!$A$1523:$KI$1569,10,FALSE)</f>
        <v>0</v>
      </c>
      <c r="K10" s="1146">
        <f>VLOOKUP("Walk",Data!$A$1523:$KI$1569,11,FALSE)</f>
        <v>0</v>
      </c>
      <c r="L10" s="1149" t="s">
        <v>150</v>
      </c>
      <c r="M10" s="593" t="str">
        <f>IF(VLOOKUP("Max Inhibit",Data!$A$1605:$K$1648,2,FALSE)= "On", "X", " ")</f>
        <v xml:space="preserve"> </v>
      </c>
      <c r="N10" s="593" t="str">
        <f>IF(VLOOKUP("Max Inhibit",Data!$A$1605:$K$1648,3,FALSE)= "On", "X", " ")</f>
        <v xml:space="preserve"> </v>
      </c>
      <c r="O10" s="593" t="str">
        <f>IF(VLOOKUP("Max Inhibit",Data!$A$1605:$K$1648,4,FALSE)= "On", "X", " ")</f>
        <v xml:space="preserve"> </v>
      </c>
      <c r="P10" s="593" t="str">
        <f>IF(VLOOKUP("Max Inhibit",Data!$A$1605:$K$1648,5,FALSE)= "On", "X", " ")</f>
        <v xml:space="preserve"> </v>
      </c>
      <c r="Q10" s="593" t="str">
        <f>IF(VLOOKUP("Max Inhibit",Data!$A$1605:$K$1648,6,FALSE)= "On", "X", " ")</f>
        <v xml:space="preserve"> </v>
      </c>
      <c r="R10" s="593" t="str">
        <f>IF(VLOOKUP("Max Inhibit",Data!$A$1605:$K$1648,7,FALSE)= "On", "X", " ")</f>
        <v xml:space="preserve"> </v>
      </c>
      <c r="S10" s="593" t="str">
        <f>IF(VLOOKUP("Max Inhibit",Data!$A$1605:$K$1648,8,FALSE)= "On", "X", " ")</f>
        <v xml:space="preserve"> </v>
      </c>
      <c r="T10" s="593" t="str">
        <f>IF(VLOOKUP("Max Inhibit",Data!$A$1605:$K$1648,9,FALSE)= "On", "X", " ")</f>
        <v xml:space="preserve"> </v>
      </c>
      <c r="U10" s="593" t="str">
        <f>IF(VLOOKUP("Max Inhibit",Data!$A$1605:$K$1648,10,FALSE)= "On", "X", " ")</f>
        <v xml:space="preserve"> </v>
      </c>
      <c r="V10" s="1150" t="str">
        <f>IF(VLOOKUP("Max Inhibit",Data!$A$1605:$K$1648,11,FALSE)= "On", "X", " ")</f>
        <v xml:space="preserve"> </v>
      </c>
      <c r="W10" s="1439" t="s">
        <v>3481</v>
      </c>
      <c r="X10" s="1439"/>
      <c r="Y10" s="1440"/>
      <c r="Z10" s="1556" t="str">
        <f>VLOOKUP("Startup Calls",Data!$A2821:$I2821, 2,FALSE)</f>
        <v>UseProg</v>
      </c>
      <c r="AA10" s="1557"/>
      <c r="AB10" s="1553" t="s">
        <v>170</v>
      </c>
      <c r="AC10" s="1554"/>
      <c r="AD10" s="1555"/>
      <c r="AE10" s="1542">
        <f>VLOOKUP("CNA FreeTime",Data!$A:$I, 2,FALSE)</f>
        <v>0</v>
      </c>
      <c r="AF10" s="1543"/>
      <c r="AG10" s="1541"/>
      <c r="AH10" s="444">
        <v>2</v>
      </c>
      <c r="AI10" s="1322">
        <f>VLOOKUP("Ring P1",Data!$A$2190:$E$2200,3,FALSE)</f>
        <v>5</v>
      </c>
      <c r="AJ10" s="1322">
        <f>VLOOKUP("Ring P2",Data!$A$2190:$E$2200,3,FALSE)</f>
        <v>6</v>
      </c>
      <c r="AK10" s="1322">
        <f>VLOOKUP("Ring P3",Data!$A$2190:$E$2200,3,FALSE)</f>
        <v>7</v>
      </c>
      <c r="AL10" s="1322">
        <f>VLOOKUP("Ring P4",Data!$A$2190:$E$2200,3,FALSE)</f>
        <v>8</v>
      </c>
      <c r="AM10" s="1322">
        <f>VLOOKUP("Ring P5",Data!$A$2190:$E$2200,3,FALSE)</f>
        <v>0</v>
      </c>
      <c r="AN10" s="1323">
        <f>VLOOKUP("Ring P6",Data!$A$2190:$E$2200,3,FALSE)</f>
        <v>0</v>
      </c>
      <c r="AO10" s="22"/>
      <c r="AP10" s="17"/>
      <c r="AQ10" s="17"/>
      <c r="AR10" s="17"/>
      <c r="AS10" s="499"/>
      <c r="AT10" s="17"/>
      <c r="AU10" s="17"/>
      <c r="AV10" s="473"/>
      <c r="AW10" s="17"/>
      <c r="AX10" s="472"/>
      <c r="AY10" s="9"/>
      <c r="AZ10" s="9"/>
      <c r="BA10" s="10"/>
      <c r="BB10" s="10"/>
      <c r="BC10" s="10"/>
      <c r="BD10" s="10"/>
      <c r="BE10" s="10"/>
      <c r="BF10" s="10"/>
      <c r="BG10" s="10"/>
      <c r="BH10" s="10"/>
    </row>
    <row r="11" spans="1:60" ht="12" customHeight="1">
      <c r="A11" s="300" t="s">
        <v>118</v>
      </c>
      <c r="B11" s="586">
        <f>VLOOKUP("Ped Clearance",Data!$A$1523:$KI$1569,2,FALSE)</f>
        <v>0</v>
      </c>
      <c r="C11" s="582">
        <f>VLOOKUP("Ped Clearance",Data!$A$1523:$KI$1569,3,FALSE)</f>
        <v>0</v>
      </c>
      <c r="D11" s="586">
        <f>VLOOKUP("Ped Clearance",Data!$A$1523:$KI$1569,4,FALSE)</f>
        <v>0</v>
      </c>
      <c r="E11" s="582">
        <f>VLOOKUP("Ped Clearance",Data!$A$1523:$KI$1569,5,FALSE)</f>
        <v>0</v>
      </c>
      <c r="F11" s="586">
        <f>VLOOKUP("Ped Clearance",Data!$A$1523:$KI$1569,6,FALSE)</f>
        <v>0</v>
      </c>
      <c r="G11" s="582">
        <f>VLOOKUP("Ped Clearance",Data!$A$1523:$KI$1569,7,FALSE)</f>
        <v>0</v>
      </c>
      <c r="H11" s="586">
        <f>VLOOKUP("Ped Clearance",Data!$A$1523:$KI$1569,8,FALSE)</f>
        <v>0</v>
      </c>
      <c r="I11" s="582">
        <f>VLOOKUP("Ped Clearance",Data!$A$1523:$KI$1569,9,FALSE)</f>
        <v>0</v>
      </c>
      <c r="J11" s="586">
        <f>VLOOKUP("Ped Clearance",Data!$A$1523:$KI$1569,10,FALSE)</f>
        <v>0</v>
      </c>
      <c r="K11" s="1145">
        <f>VLOOKUP("Ped Clearance",Data!$A$1523:$KI$1569,11,FALSE)</f>
        <v>0</v>
      </c>
      <c r="L11" s="1149" t="s">
        <v>125</v>
      </c>
      <c r="M11" s="597" t="str">
        <f>IF(VLOOKUP("Ped Delay",Data!$A$1605:$K$1648,2,FALSE)= "On", "X", " ")</f>
        <v xml:space="preserve"> </v>
      </c>
      <c r="N11" s="597" t="str">
        <f>IF(VLOOKUP("Ped Delay",Data!$A$1605:$K$1648,3,FALSE)= "On", "X", " ")</f>
        <v xml:space="preserve"> </v>
      </c>
      <c r="O11" s="597" t="str">
        <f>IF(VLOOKUP("Ped Delay",Data!$A$1605:$K$1648,4,FALSE)= "On", "X", " ")</f>
        <v xml:space="preserve"> </v>
      </c>
      <c r="P11" s="597" t="str">
        <f>IF(VLOOKUP("Ped Delay",Data!$A$1605:$K$1648,5,FALSE)= "On", "X", " ")</f>
        <v xml:space="preserve"> </v>
      </c>
      <c r="Q11" s="597" t="str">
        <f>IF(VLOOKUP("Ped Delay",Data!$A$1605:$K$1648,6,FALSE)= "On", "X", " ")</f>
        <v xml:space="preserve"> </v>
      </c>
      <c r="R11" s="597" t="str">
        <f>IF(VLOOKUP("Ped Delay",Data!$A$1605:$K$1648,7,FALSE)= "On", "X", " ")</f>
        <v xml:space="preserve"> </v>
      </c>
      <c r="S11" s="597" t="str">
        <f>IF(VLOOKUP("Ped Delay",Data!$A$1605:$K$1648,8,FALSE)= "On", "X", " ")</f>
        <v xml:space="preserve"> </v>
      </c>
      <c r="T11" s="597" t="str">
        <f>IF(VLOOKUP("Ped Delay",Data!$A$1605:$K$1648,9,FALSE)= "On", "X", " ")</f>
        <v xml:space="preserve"> </v>
      </c>
      <c r="U11" s="597" t="str">
        <f>IF(VLOOKUP("Ped Delay",Data!$A$1605:$K$1648,10,FALSE)= "On", "X", " ")</f>
        <v xml:space="preserve"> </v>
      </c>
      <c r="V11" s="1154" t="str">
        <f>IF(VLOOKUP("Ped Delay",Data!$A$1605:$K$1648,11,FALSE)= "On", "X", " ")</f>
        <v xml:space="preserve"> </v>
      </c>
      <c r="W11" s="1437" t="s">
        <v>629</v>
      </c>
      <c r="X11" s="1437"/>
      <c r="Y11" s="1438"/>
      <c r="Z11" s="1544" t="str">
        <f>VLOOKUP("TOD Dim Enable",Data!$A:$I, 2,FALSE)</f>
        <v>OFF</v>
      </c>
      <c r="AA11" s="1545"/>
      <c r="AB11" s="1553" t="s">
        <v>129</v>
      </c>
      <c r="AC11" s="1554"/>
      <c r="AD11" s="1555"/>
      <c r="AE11" s="1542" t="str">
        <f>VLOOKUP("Diamond Mode",Data!$A2812:$I2812, 2,FALSE)</f>
        <v>4Ph</v>
      </c>
      <c r="AF11" s="1543"/>
      <c r="AG11" s="1474">
        <v>2</v>
      </c>
      <c r="AH11" s="333">
        <v>1</v>
      </c>
      <c r="AI11" s="1324">
        <f>VLOOKUP("Ring P1",Data!$A$2201:$E$2211,2,FALSE)</f>
        <v>1</v>
      </c>
      <c r="AJ11" s="1324">
        <f>VLOOKUP("Ring P2",Data!$A$2201:$E$2211,2,FALSE)</f>
        <v>2</v>
      </c>
      <c r="AK11" s="1324">
        <f>VLOOKUP("Ring P3",Data!$A$2201:$E$2211,2,FALSE)</f>
        <v>3</v>
      </c>
      <c r="AL11" s="1324">
        <f>VLOOKUP("Ring P4",Data!$A$2201:$E$2211,2,FALSE)</f>
        <v>4</v>
      </c>
      <c r="AM11" s="1324">
        <f>VLOOKUP("Ring P5",Data!$A$2201:$E$2211,2,FALSE)</f>
        <v>0</v>
      </c>
      <c r="AN11" s="1325">
        <f>VLOOKUP("Ring P6",Data!$A$2208:$E$2208,2,FALSE)</f>
        <v>0</v>
      </c>
      <c r="AO11" s="23"/>
      <c r="AP11" s="20"/>
      <c r="AQ11" s="17"/>
      <c r="AR11" s="17"/>
      <c r="AS11" s="17"/>
      <c r="AT11" s="21"/>
      <c r="AU11" s="18"/>
      <c r="AV11" s="474"/>
      <c r="AW11" s="475"/>
      <c r="AX11" s="476"/>
      <c r="AY11" s="9"/>
      <c r="AZ11" s="9"/>
      <c r="BA11" s="10"/>
      <c r="BB11" s="10"/>
      <c r="BC11" s="10"/>
      <c r="BD11" s="10"/>
      <c r="BE11" s="10"/>
      <c r="BF11" s="10"/>
      <c r="BG11" s="10"/>
      <c r="BH11" s="10"/>
    </row>
    <row r="12" spans="1:60" ht="12" customHeight="1">
      <c r="A12" s="300" t="s">
        <v>120</v>
      </c>
      <c r="B12" s="586">
        <f>VLOOKUP("Red Revert",Data!$A$1523:$KI$1569,2,FALSE)</f>
        <v>0</v>
      </c>
      <c r="C12" s="582">
        <f>VLOOKUP("Red Revert",Data!$A$1523:$KI$1569,3,FALSE)</f>
        <v>0</v>
      </c>
      <c r="D12" s="586">
        <f>VLOOKUP("Red Revert",Data!$A$1523:$KI$1569,4,FALSE)</f>
        <v>0</v>
      </c>
      <c r="E12" s="582">
        <f>VLOOKUP("Red Revert",Data!$A$1523:$KI$1569,5,FALSE)</f>
        <v>0</v>
      </c>
      <c r="F12" s="586">
        <f>VLOOKUP("Red Revert",Data!$A$1523:$KI$1569,6,FALSE)</f>
        <v>0</v>
      </c>
      <c r="G12" s="582">
        <f>VLOOKUP("Red Revert",Data!$A$1523:$KI$1569,7,FALSE)</f>
        <v>0</v>
      </c>
      <c r="H12" s="586">
        <f>VLOOKUP("Red Revert",Data!$A$1523:$KI$1569,8,FALSE)</f>
        <v>0</v>
      </c>
      <c r="I12" s="582">
        <f>VLOOKUP("Red Revert",Data!$A$1523:$KI$1569,9,FALSE)</f>
        <v>0</v>
      </c>
      <c r="J12" s="586">
        <f>VLOOKUP("Red Revert",Data!$A$1523:$KI$1569,10,FALSE)</f>
        <v>0</v>
      </c>
      <c r="K12" s="1145">
        <f>VLOOKUP("Red Revert",Data!$A$1523:$KI$1569,11,FALSE)</f>
        <v>0</v>
      </c>
      <c r="L12" s="1149" t="s">
        <v>151</v>
      </c>
      <c r="M12" s="594" t="str">
        <f>IF(VLOOKUP("Red Rest On Gap",Data!$A$1605:$K$1648,2,FALSE)= "On", "X", " ")</f>
        <v xml:space="preserve"> </v>
      </c>
      <c r="N12" s="594" t="str">
        <f>IF(VLOOKUP("Red Rest On Gap",Data!$A$1605:$K$1648,3,FALSE)= "On", "X", " ")</f>
        <v xml:space="preserve"> </v>
      </c>
      <c r="O12" s="594" t="str">
        <f>IF(VLOOKUP("Red Rest On Gap",Data!$A$1605:$K$1648,4,FALSE)= "On", "X", " ")</f>
        <v xml:space="preserve"> </v>
      </c>
      <c r="P12" s="594" t="str">
        <f>IF(VLOOKUP("Red Rest On Gap",Data!$A$1605:$K$1648,5,FALSE)= "On", "X", " ")</f>
        <v xml:space="preserve"> </v>
      </c>
      <c r="Q12" s="594" t="str">
        <f>IF(VLOOKUP("Red Rest On Gap",Data!$A$1605:$K$1648,6,FALSE)= "On", "X", " ")</f>
        <v xml:space="preserve"> </v>
      </c>
      <c r="R12" s="594" t="str">
        <f>IF(VLOOKUP("Red Rest On Gap",Data!$A$1605:$K$1648,7,FALSE)= "On", "X", " ")</f>
        <v xml:space="preserve"> </v>
      </c>
      <c r="S12" s="594" t="str">
        <f>IF(VLOOKUP("Red Rest On Gap",Data!$A$1605:$K$1648,8,FALSE)= "On", "X", " ")</f>
        <v xml:space="preserve"> </v>
      </c>
      <c r="T12" s="594" t="str">
        <f>IF(VLOOKUP("Red Rest On Gap",Data!$A$1605:$K$1648,9,FALSE)= "On", "X", " ")</f>
        <v xml:space="preserve"> </v>
      </c>
      <c r="U12" s="594" t="str">
        <f>IF(VLOOKUP("Red Rest On Gap",Data!$A$1605:$K$1648,10,FALSE)= "On", "X", " ")</f>
        <v xml:space="preserve"> </v>
      </c>
      <c r="V12" s="1155" t="str">
        <f>IF(VLOOKUP("Red Rest On Gap",Data!$A$1605:$K$1648,11,FALSE)= "On", "X", " ")</f>
        <v xml:space="preserve"> </v>
      </c>
      <c r="W12" s="1441" t="s">
        <v>630</v>
      </c>
      <c r="X12" s="1441"/>
      <c r="Y12" s="1442"/>
      <c r="Z12" s="1544" t="str">
        <f>VLOOKUP("Stop Time Over Preempt",Data!$A2823:$I2823, 2,FALSE)</f>
        <v>OFF</v>
      </c>
      <c r="AA12" s="1545"/>
      <c r="AB12" s="1585" t="s">
        <v>174</v>
      </c>
      <c r="AC12" s="1439"/>
      <c r="AD12" s="1440"/>
      <c r="AE12" s="1542">
        <f>VLOOKUP("Free Ring Sequence",Data!$A2814:$I2814, 2,FALSE)</f>
        <v>1</v>
      </c>
      <c r="AF12" s="1543"/>
      <c r="AG12" s="1474"/>
      <c r="AH12" s="334">
        <v>2</v>
      </c>
      <c r="AI12" s="1324">
        <f>VLOOKUP("Ring P1",Data!$A$2201:$E$2211,3,FALSE)</f>
        <v>6</v>
      </c>
      <c r="AJ12" s="1324">
        <f>VLOOKUP("Ring P2",Data!$A$2201:$E$2211,3,FALSE)</f>
        <v>5</v>
      </c>
      <c r="AK12" s="1324">
        <f>VLOOKUP("Ring P3",Data!$A$2201:$E$2211,3,FALSE)</f>
        <v>7</v>
      </c>
      <c r="AL12" s="1324">
        <f>VLOOKUP("Ring P4",Data!$A$2201:$E$2211,3,FALSE)</f>
        <v>8</v>
      </c>
      <c r="AM12" s="1324">
        <f>VLOOKUP("Ring P5",Data!$A$2201:$E$2211,3,FALSE)</f>
        <v>0</v>
      </c>
      <c r="AN12" s="1325">
        <f>VLOOKUP("Ring P6",Data!$A$2208:$E$2208,3,FALSE)</f>
        <v>0</v>
      </c>
      <c r="AO12" s="23"/>
      <c r="AP12" s="17"/>
      <c r="AQ12" s="17"/>
      <c r="AR12" s="17"/>
      <c r="AS12" s="17"/>
      <c r="AT12" s="17"/>
      <c r="AU12" s="17"/>
      <c r="AV12" s="17"/>
      <c r="AW12" s="17"/>
      <c r="AX12" s="18"/>
      <c r="AY12" s="9"/>
      <c r="AZ12" s="9"/>
      <c r="BA12" s="10"/>
      <c r="BB12" s="10"/>
      <c r="BC12" s="10"/>
      <c r="BD12" s="10"/>
      <c r="BE12" s="10"/>
      <c r="BF12" s="10"/>
      <c r="BG12" s="10"/>
      <c r="BH12" s="10"/>
    </row>
    <row r="13" spans="1:60" ht="12" customHeight="1">
      <c r="A13" s="300" t="s">
        <v>152</v>
      </c>
      <c r="B13" s="586">
        <f>VLOOKUP("Added Initial",Data!$A$1523:$KI$1569,2,FALSE)</f>
        <v>0</v>
      </c>
      <c r="C13" s="582">
        <f>VLOOKUP("Added Initial",Data!$A$1523:$KI$1569,3,FALSE)</f>
        <v>0</v>
      </c>
      <c r="D13" s="586">
        <f>VLOOKUP("Added Initial",Data!$A$1523:$KI$1569,4,FALSE)</f>
        <v>0</v>
      </c>
      <c r="E13" s="582">
        <f>VLOOKUP("Added Initial",Data!$A$1523:$KI$1569,5,FALSE)</f>
        <v>0</v>
      </c>
      <c r="F13" s="586">
        <f>VLOOKUP("Added Initial",Data!$A$1523:$KI$1569,6,FALSE)</f>
        <v>0</v>
      </c>
      <c r="G13" s="582">
        <f>VLOOKUP("Added Initial",Data!$A$1523:$KI$1569,7,FALSE)</f>
        <v>0</v>
      </c>
      <c r="H13" s="586">
        <f>VLOOKUP("Added Initial",Data!$A$1523:$KI$1569,8,FALSE)</f>
        <v>0</v>
      </c>
      <c r="I13" s="582">
        <f>VLOOKUP("Added Initial",Data!$A$1523:$KI$1569,9,FALSE)</f>
        <v>0</v>
      </c>
      <c r="J13" s="586">
        <f>VLOOKUP("Added Initial",Data!$A$1523:$KI$1569,10,FALSE)</f>
        <v>0</v>
      </c>
      <c r="K13" s="1145">
        <f>VLOOKUP("Added Initial",Data!$A$1523:$KI$1569,11,FALSE)</f>
        <v>0</v>
      </c>
      <c r="L13" s="1156" t="s">
        <v>153</v>
      </c>
      <c r="M13" s="597">
        <f>VLOOKUP("Conflicting P",Data!$A$1605:$K$1648,2,FALSE)</f>
        <v>0</v>
      </c>
      <c r="N13" s="597">
        <f>VLOOKUP("Conflicting P",Data!$A$1605:$K$1648,3,FALSE)</f>
        <v>0</v>
      </c>
      <c r="O13" s="597">
        <f>VLOOKUP("Conflicting P",Data!$A$1605:$K$1648,4,FALSE)</f>
        <v>0</v>
      </c>
      <c r="P13" s="597">
        <f>VLOOKUP("Conflicting P",Data!$A$1605:$K$1648,5,FALSE)</f>
        <v>0</v>
      </c>
      <c r="Q13" s="597">
        <f>VLOOKUP("Conflicting P",Data!$A$1605:$K$1648,6,FALSE)</f>
        <v>0</v>
      </c>
      <c r="R13" s="597">
        <f>VLOOKUP("Conflicting P",Data!$A$1605:$K$1648,7,FALSE)</f>
        <v>0</v>
      </c>
      <c r="S13" s="597">
        <f>VLOOKUP("Conflicting P",Data!$A$1605:$K$1648,8,FALSE)</f>
        <v>0</v>
      </c>
      <c r="T13" s="597">
        <f>VLOOKUP("Conflicting P",Data!$A$1605:$K$1648,9,FALSE)</f>
        <v>0</v>
      </c>
      <c r="U13" s="597">
        <f>VLOOKUP("Conflicting P",Data!$A$1605:$K$1648,10,FALSE)</f>
        <v>0</v>
      </c>
      <c r="V13" s="1154">
        <f>VLOOKUP("Conflicting P",Data!$A$1605:$K$1648,11,FALSE)</f>
        <v>0</v>
      </c>
      <c r="W13" s="1443" t="s">
        <v>130</v>
      </c>
      <c r="X13" s="1443"/>
      <c r="Y13" s="1444"/>
      <c r="Z13" s="1551">
        <v>1</v>
      </c>
      <c r="AA13" s="1552"/>
      <c r="AB13" s="1553" t="s">
        <v>1</v>
      </c>
      <c r="AC13" s="1554"/>
      <c r="AD13" s="1555"/>
      <c r="AE13" s="1542" t="str">
        <f>VLOOKUP("C1-C11-ABC IO Mode",Data!$A:$I, 2,FALSE)</f>
        <v>USER</v>
      </c>
      <c r="AF13" s="1543"/>
      <c r="AG13" s="1541">
        <v>3</v>
      </c>
      <c r="AH13" s="445">
        <v>1</v>
      </c>
      <c r="AI13" s="656">
        <f>VLOOKUP("Ring P1",Data!$A$2212:$E$2222,2,FALSE)</f>
        <v>2</v>
      </c>
      <c r="AJ13" s="656">
        <f>VLOOKUP("Ring P2",Data!$A$2212:$E$2222,2,FALSE)</f>
        <v>1</v>
      </c>
      <c r="AK13" s="656">
        <f>VLOOKUP("Ring P3",Data!$A$2212:$E$2222,2,FALSE)</f>
        <v>3</v>
      </c>
      <c r="AL13" s="656">
        <f>VLOOKUP("Ring P4",Data!$A$2212:$E$2222,2,FALSE)</f>
        <v>4</v>
      </c>
      <c r="AM13" s="656">
        <f>VLOOKUP("Ring P5",Data!$A$2212:$E$2222,2,FALSE)</f>
        <v>0</v>
      </c>
      <c r="AN13" s="657">
        <f>VLOOKUP("Ring P6",Data!$A$2212:$E$2222,2,FALSE)</f>
        <v>0</v>
      </c>
      <c r="AO13" s="22"/>
      <c r="AP13" s="20"/>
      <c r="AQ13" s="17"/>
      <c r="AR13"/>
      <c r="AS13" s="17"/>
      <c r="AT13" s="21"/>
      <c r="AU13" s="205"/>
      <c r="AV13" s="18"/>
      <c r="AW13" s="18"/>
      <c r="AX13" s="18"/>
      <c r="AY13" s="9"/>
      <c r="AZ13" s="9"/>
      <c r="BA13" s="10"/>
      <c r="BB13" s="10"/>
      <c r="BC13" s="10"/>
      <c r="BD13" s="10"/>
      <c r="BE13" s="10"/>
      <c r="BF13" s="10"/>
      <c r="BG13" s="10"/>
      <c r="BH13" s="10"/>
    </row>
    <row r="14" spans="1:60" ht="12" customHeight="1">
      <c r="A14" s="300" t="s">
        <v>44</v>
      </c>
      <c r="B14" s="586">
        <f>VLOOKUP("Max Initial",Data!$A$1523:$KI$1569,2,FALSE)</f>
        <v>0</v>
      </c>
      <c r="C14" s="582">
        <f>VLOOKUP("Max Initial",Data!$A$1523:$KI$1569,3,FALSE)</f>
        <v>0</v>
      </c>
      <c r="D14" s="586">
        <f>VLOOKUP("Max Initial",Data!$A$1523:$KI$1569,4,FALSE)</f>
        <v>0</v>
      </c>
      <c r="E14" s="582">
        <f>VLOOKUP("Max Initial",Data!$A$1523:$KI$1569,5,FALSE)</f>
        <v>0</v>
      </c>
      <c r="F14" s="586">
        <f>VLOOKUP("Max Initial",Data!$A$1523:$KI$1569,6,FALSE)</f>
        <v>0</v>
      </c>
      <c r="G14" s="582">
        <f>VLOOKUP("Max Initial",Data!$A$1523:$KI$1569,7,FALSE)</f>
        <v>0</v>
      </c>
      <c r="H14" s="586">
        <f>VLOOKUP("Max Initial",Data!$A$1523:$KI$1569,8,FALSE)</f>
        <v>0</v>
      </c>
      <c r="I14" s="582">
        <f>VLOOKUP("Max Initial",Data!$A$1523:$KI$1569,9,FALSE)</f>
        <v>0</v>
      </c>
      <c r="J14" s="586">
        <f>VLOOKUP("Max Initial",Data!$A$1523:$KI$1569,10,FALSE)</f>
        <v>0</v>
      </c>
      <c r="K14" s="1145">
        <f>VLOOKUP("Max Initial",Data!$A$1523:$KI$1569,11,FALSE)</f>
        <v>0</v>
      </c>
      <c r="L14" s="1149" t="s">
        <v>154</v>
      </c>
      <c r="M14" s="593">
        <f>VLOOKUP("Green Ped Delay Time",Data!$A$1605:$K$1648,2,FALSE)</f>
        <v>0</v>
      </c>
      <c r="N14" s="593">
        <f>VLOOKUP("Green Ped Delay Time",Data!$A$1605:$K$1648,3,FALSE)</f>
        <v>0</v>
      </c>
      <c r="O14" s="593">
        <f>VLOOKUP("Green Ped Delay Time",Data!$A$1605:$K$1648,4,FALSE)</f>
        <v>0</v>
      </c>
      <c r="P14" s="593">
        <f>VLOOKUP("Green Ped Delay Time",Data!$A$1605:$K$1648,5,FALSE)</f>
        <v>0</v>
      </c>
      <c r="Q14" s="593">
        <f>VLOOKUP("Green Ped Delay Time",Data!$A$1605:$K$1648,6,FALSE)</f>
        <v>0</v>
      </c>
      <c r="R14" s="593">
        <f>VLOOKUP("Green Ped Delay Time",Data!$A$1605:$K$1648,7,FALSE)</f>
        <v>0</v>
      </c>
      <c r="S14" s="593">
        <f>VLOOKUP("Green Ped Delay Time",Data!$A$1605:$K$1648,8,FALSE)</f>
        <v>0</v>
      </c>
      <c r="T14" s="593">
        <f>VLOOKUP("Green Ped Delay Time",Data!$A$1605:$K$1648,9,FALSE)</f>
        <v>0</v>
      </c>
      <c r="U14" s="593">
        <f>VLOOKUP("Green Ped Delay Time",Data!$A$1605:$K$1648,10,FALSE)</f>
        <v>0</v>
      </c>
      <c r="V14" s="1150">
        <f>VLOOKUP("Green Ped Delay Time",Data!$A$1605:$K$1648,11,FALSE)</f>
        <v>0</v>
      </c>
      <c r="W14" s="1439" t="s">
        <v>631</v>
      </c>
      <c r="X14" s="1439"/>
      <c r="Y14" s="1440"/>
      <c r="Z14" s="1556">
        <f>VLOOKUP("Max Seek Track Time",Data!$A:$I, 2,FALSE)</f>
        <v>0</v>
      </c>
      <c r="AA14" s="1557"/>
      <c r="AB14" s="1553" t="s">
        <v>172</v>
      </c>
      <c r="AC14" s="1554"/>
      <c r="AD14" s="1555"/>
      <c r="AE14" s="1542">
        <f>VLOOKUP("Max Cycle Time",Data!$A:$I, 2,FALSE)</f>
        <v>0</v>
      </c>
      <c r="AF14" s="1543"/>
      <c r="AG14" s="1541"/>
      <c r="AH14" s="444">
        <v>2</v>
      </c>
      <c r="AI14" s="656">
        <f>VLOOKUP("Ring P1",Data!$A$2212:$E$2222,3,FALSE)</f>
        <v>5</v>
      </c>
      <c r="AJ14" s="656">
        <f>VLOOKUP("Ring P2",Data!$A$2212:$E$2222,3,FALSE)</f>
        <v>6</v>
      </c>
      <c r="AK14" s="656">
        <f>VLOOKUP("Ring P3",Data!$A$2212:$E$2222,3,FALSE)</f>
        <v>7</v>
      </c>
      <c r="AL14" s="656">
        <f>VLOOKUP("Ring P4",Data!$A$2212:$E$2222,3,FALSE)</f>
        <v>8</v>
      </c>
      <c r="AM14" s="656">
        <f>VLOOKUP("Ring P5",Data!$A$2212:$E$2222,3,FALSE)</f>
        <v>0</v>
      </c>
      <c r="AN14" s="657">
        <f>VLOOKUP("Ring P6",Data!$A$2212:$E$2222,3,FALSE)</f>
        <v>0</v>
      </c>
      <c r="AO14" s="22"/>
      <c r="AP14" s="17"/>
      <c r="AQ14" s="17"/>
      <c r="AR14" s="17"/>
      <c r="AS14" s="17"/>
      <c r="AT14" s="17"/>
      <c r="AU14" s="17"/>
      <c r="AV14" s="17"/>
      <c r="AW14" s="17"/>
      <c r="AX14" s="18"/>
      <c r="AY14" s="9"/>
      <c r="AZ14" s="9"/>
      <c r="BA14" s="10"/>
      <c r="BB14" s="10"/>
      <c r="BC14" s="10"/>
      <c r="BD14" s="10"/>
      <c r="BE14" s="10"/>
      <c r="BF14" s="10"/>
      <c r="BG14" s="10"/>
      <c r="BH14" s="10"/>
    </row>
    <row r="15" spans="1:60" ht="12" customHeight="1">
      <c r="A15" s="300" t="s">
        <v>155</v>
      </c>
      <c r="B15" s="586">
        <f>VLOOKUP("Time Before Reduce",Data!$A$1523:$KI$1569,2,FALSE)</f>
        <v>0</v>
      </c>
      <c r="C15" s="582">
        <f>VLOOKUP("Time Before Reduce",Data!$A$1523:$KI$1569,3,FALSE)</f>
        <v>0</v>
      </c>
      <c r="D15" s="586">
        <f>VLOOKUP("Time Before Reduce",Data!$A$1523:$KI$1569,4,FALSE)</f>
        <v>0</v>
      </c>
      <c r="E15" s="582">
        <f>VLOOKUP("Time Before Reduce",Data!$A$1523:$KI$1569,5,FALSE)</f>
        <v>0</v>
      </c>
      <c r="F15" s="586">
        <f>VLOOKUP("Time Before Reduce",Data!$A$1523:$KI$1569,6,FALSE)</f>
        <v>0</v>
      </c>
      <c r="G15" s="582">
        <f>VLOOKUP("Time Before Reduce",Data!$A$1523:$KI$1569,7,FALSE)</f>
        <v>0</v>
      </c>
      <c r="H15" s="586">
        <f>VLOOKUP("Time Before Reduce",Data!$A$1523:$KI$1569,8,FALSE)</f>
        <v>0</v>
      </c>
      <c r="I15" s="582">
        <f>VLOOKUP("Time Before Reduce",Data!$A$1523:$KI$1569,9,FALSE)</f>
        <v>0</v>
      </c>
      <c r="J15" s="586">
        <f>VLOOKUP("Time Before Reduce",Data!$A$1523:$KI$1569,10,FALSE)</f>
        <v>0</v>
      </c>
      <c r="K15" s="1145">
        <f>VLOOKUP("Time Before Reduce",Data!$A$1523:$KI$1569,11,FALSE)</f>
        <v>0</v>
      </c>
      <c r="L15" s="1149" t="s">
        <v>156</v>
      </c>
      <c r="M15" s="597">
        <f>VLOOKUP("Omit Yel",Data!$A$1605:$K$1648,2,FALSE)</f>
        <v>0</v>
      </c>
      <c r="N15" s="597">
        <f>VLOOKUP("Omit Yel",Data!$A$1605:$K$1648,3,FALSE)</f>
        <v>0</v>
      </c>
      <c r="O15" s="597">
        <f>VLOOKUP("Omit Yel",Data!$A$1605:$K$1648,4,FALSE)</f>
        <v>0</v>
      </c>
      <c r="P15" s="597">
        <f>VLOOKUP("Omit Yel",Data!$A$1605:$K$1648,5,FALSE)</f>
        <v>0</v>
      </c>
      <c r="Q15" s="597">
        <f>VLOOKUP("Omit Yel",Data!$A$1605:$K$1648,6,FALSE)</f>
        <v>0</v>
      </c>
      <c r="R15" s="597">
        <f>VLOOKUP("Omit Yel",Data!$A$1605:$K$1648,7,FALSE)</f>
        <v>0</v>
      </c>
      <c r="S15" s="597">
        <f>VLOOKUP("Omit Yel",Data!$A$1605:$K$1648,8,FALSE)</f>
        <v>0</v>
      </c>
      <c r="T15" s="597">
        <f>VLOOKUP("Omit Yel",Data!$A$1605:$K$1648,9,FALSE)</f>
        <v>0</v>
      </c>
      <c r="U15" s="597">
        <f>VLOOKUP("Omit Yel",Data!$A$1605:$K$1648,10,FALSE)</f>
        <v>0</v>
      </c>
      <c r="V15" s="1154">
        <f>VLOOKUP("Omit Yel",Data!$A$1605:$K$1648,11,FALSE)</f>
        <v>0</v>
      </c>
      <c r="W15" s="1439" t="s">
        <v>632</v>
      </c>
      <c r="X15" s="1439"/>
      <c r="Y15" s="1440"/>
      <c r="Z15" s="1556">
        <f>VLOOKUP("Max Seek Dwell Time",Data!$A:$I, 2,FALSE)</f>
        <v>0</v>
      </c>
      <c r="AA15" s="1557"/>
      <c r="AB15" s="1553" t="s">
        <v>175</v>
      </c>
      <c r="AC15" s="1554"/>
      <c r="AD15" s="1555"/>
      <c r="AE15" s="1542" t="str">
        <f>VLOOKUP("Cycle Fault Action",Data!$A:$I, 2,FALSE)</f>
        <v>ALARM</v>
      </c>
      <c r="AF15" s="1543"/>
      <c r="AG15" s="1474">
        <v>4</v>
      </c>
      <c r="AH15" s="333">
        <v>1</v>
      </c>
      <c r="AI15" s="1326">
        <f>VLOOKUP("Ring P1",Data!$A$2223:$E$2233,2,FALSE)</f>
        <v>2</v>
      </c>
      <c r="AJ15" s="1326">
        <f>VLOOKUP("Ring P2",Data!$A$2223:$E$2233,2,FALSE)</f>
        <v>1</v>
      </c>
      <c r="AK15" s="1326">
        <f>VLOOKUP("Ring P3",Data!$A$2223:$E$2233,2,FALSE)</f>
        <v>3</v>
      </c>
      <c r="AL15" s="1326">
        <f>VLOOKUP("Ring P4",Data!$A$2223:$E$2233,2,FALSE)</f>
        <v>4</v>
      </c>
      <c r="AM15" s="1326">
        <f>VLOOKUP("Ring P5",Data!$A$2223:$E$2233,2,FALSE)</f>
        <v>0</v>
      </c>
      <c r="AN15" s="1327">
        <f>VLOOKUP("Ring P6",Data!$A$2223:$E$2233,2,FALSE)</f>
        <v>0</v>
      </c>
      <c r="AO15" s="23"/>
      <c r="AP15" s="20"/>
      <c r="AQ15" s="17"/>
      <c r="AR15" s="17"/>
      <c r="AS15" s="17"/>
      <c r="AT15" s="21"/>
      <c r="AU15" s="18"/>
      <c r="AV15" s="18"/>
      <c r="AW15" s="18"/>
      <c r="AX15" s="18"/>
      <c r="AY15" s="9"/>
      <c r="AZ15" s="9"/>
      <c r="BA15" s="10"/>
      <c r="BB15" s="10"/>
      <c r="BC15" s="10"/>
      <c r="BD15" s="10"/>
      <c r="BE15" s="10"/>
      <c r="BF15" s="10"/>
      <c r="BG15" s="10"/>
      <c r="BH15" s="10"/>
    </row>
    <row r="16" spans="1:60" ht="12" customHeight="1">
      <c r="A16" s="300" t="s">
        <v>157</v>
      </c>
      <c r="B16" s="586">
        <f>VLOOKUP("Cars Before Reduce",Data!$A$1523:$KI$1569,2,FALSE)</f>
        <v>0</v>
      </c>
      <c r="C16" s="582">
        <f>VLOOKUP("Cars Before Reduce",Data!$A$1523:$KI$1569,3,FALSE)</f>
        <v>0</v>
      </c>
      <c r="D16" s="586">
        <f>VLOOKUP("Cars Before Reduce",Data!$A$1523:$KI$1569,4,FALSE)</f>
        <v>0</v>
      </c>
      <c r="E16" s="582">
        <f>VLOOKUP("Cars Before Reduce",Data!$A$1523:$KI$1569,5,FALSE)</f>
        <v>0</v>
      </c>
      <c r="F16" s="586">
        <f>VLOOKUP("Cars Before Reduce",Data!$A$1523:$KI$1569,6,FALSE)</f>
        <v>0</v>
      </c>
      <c r="G16" s="582">
        <f>VLOOKUP("Cars Before Reduce",Data!$A$1523:$KI$1569,7,FALSE)</f>
        <v>0</v>
      </c>
      <c r="H16" s="586">
        <f>VLOOKUP("Cars Before Reduce",Data!$A$1523:$KI$1569,8,FALSE)</f>
        <v>0</v>
      </c>
      <c r="I16" s="582">
        <f>VLOOKUP("Cars Before Reduce",Data!$A$1523:$KI$1569,9,FALSE)</f>
        <v>0</v>
      </c>
      <c r="J16" s="586">
        <f>VLOOKUP("Cars Before Reduce",Data!$A$1523:$KI$1569,10,FALSE)</f>
        <v>0</v>
      </c>
      <c r="K16" s="1145">
        <f>VLOOKUP("Cars Before Reduce",Data!$A$1523:$KI$1569,11,FALSE)</f>
        <v>0</v>
      </c>
      <c r="L16" s="1149" t="s">
        <v>158</v>
      </c>
      <c r="M16" s="594">
        <f>VLOOKUP("Ped Out",Data!$A$1605:$K$1648,2,FALSE)</f>
        <v>0</v>
      </c>
      <c r="N16" s="594">
        <f>VLOOKUP("Ped Out",Data!$A$1605:$K$1648,3,FALSE)</f>
        <v>0</v>
      </c>
      <c r="O16" s="594">
        <f>VLOOKUP("Ped Out",Data!$A$1605:$K$1648,4,FALSE)</f>
        <v>0</v>
      </c>
      <c r="P16" s="594">
        <f>VLOOKUP("Ped Out",Data!$A$1605:$K$1648,5,FALSE)</f>
        <v>0</v>
      </c>
      <c r="Q16" s="594">
        <f>VLOOKUP("Ped Out",Data!$A$1605:$K$1648,6,FALSE)</f>
        <v>0</v>
      </c>
      <c r="R16" s="594">
        <f>VLOOKUP("Ped Out",Data!$A$1605:$K$1648,7,FALSE)</f>
        <v>0</v>
      </c>
      <c r="S16" s="594">
        <f>VLOOKUP("Ped Out",Data!$A$1605:$K$1648,8,FALSE)</f>
        <v>0</v>
      </c>
      <c r="T16" s="594">
        <f>VLOOKUP("Ped Out",Data!$A$1605:$K$1648,9,FALSE)</f>
        <v>0</v>
      </c>
      <c r="U16" s="594">
        <f>VLOOKUP("Ped Out",Data!$A$1605:$K$1648,10,FALSE)</f>
        <v>0</v>
      </c>
      <c r="V16" s="1155">
        <f>VLOOKUP("Ped Out",Data!$A$1605:$K$1648,11,FALSE)</f>
        <v>0</v>
      </c>
      <c r="W16" s="1437" t="s">
        <v>633</v>
      </c>
      <c r="X16" s="1437"/>
      <c r="Y16" s="1438"/>
      <c r="Z16" s="1544" t="str">
        <f>VLOOKUP("Preempt or Ext Output",Data!$A:$I, 2,FALSE)</f>
        <v>EXT</v>
      </c>
      <c r="AA16" s="1545"/>
      <c r="AB16" s="1546" t="s">
        <v>177</v>
      </c>
      <c r="AC16" s="1547"/>
      <c r="AD16" s="1548"/>
      <c r="AE16" s="1549" t="str">
        <f>VLOOKUP("Clearance Decide",Data!$A2811:$I2811, 2,FALSE)</f>
        <v>OFF</v>
      </c>
      <c r="AF16" s="1550"/>
      <c r="AG16" s="1474"/>
      <c r="AH16" s="334">
        <v>2</v>
      </c>
      <c r="AI16" s="1326">
        <f>VLOOKUP("Ring P1",Data!$A$2223:$E$2233,3,FALSE)</f>
        <v>6</v>
      </c>
      <c r="AJ16" s="1326">
        <f>VLOOKUP("Ring P2",Data!$A$2223:$E$2233,3,FALSE)</f>
        <v>5</v>
      </c>
      <c r="AK16" s="1326">
        <f>VLOOKUP("Ring P3",Data!$A$2223:$E$2233,3,FALSE)</f>
        <v>7</v>
      </c>
      <c r="AL16" s="1326">
        <f>VLOOKUP("Ring P4",Data!$A$2223:$E$2233,3,FALSE)</f>
        <v>8</v>
      </c>
      <c r="AM16" s="1326">
        <f>VLOOKUP("Ring P5",Data!$A$2223:$E$2233,3,FALSE)</f>
        <v>0</v>
      </c>
      <c r="AN16" s="1327">
        <f>VLOOKUP("Ring P6",Data!$A$2223:$E$2233,3,FALSE)</f>
        <v>0</v>
      </c>
      <c r="AO16" s="23"/>
      <c r="AP16" s="17"/>
      <c r="AQ16" s="17"/>
      <c r="AR16" s="17"/>
      <c r="AS16" s="17"/>
      <c r="AT16" s="17"/>
      <c r="AU16"/>
      <c r="AV16"/>
      <c r="AW16"/>
      <c r="AX16"/>
      <c r="AY16"/>
      <c r="AZ16"/>
      <c r="BA16"/>
      <c r="BB16"/>
      <c r="BC16"/>
      <c r="BD16" s="10"/>
      <c r="BE16" s="10"/>
      <c r="BF16" s="10"/>
      <c r="BG16" s="10"/>
      <c r="BH16" s="10"/>
    </row>
    <row r="17" spans="1:60" ht="12" customHeight="1">
      <c r="A17" s="300" t="s">
        <v>124</v>
      </c>
      <c r="B17" s="586">
        <f>VLOOKUP("Time To Reduce",Data!$A$1523:$KI$1569,2,FALSE)</f>
        <v>0</v>
      </c>
      <c r="C17" s="582">
        <f>VLOOKUP("Time To Reduce",Data!$A$1523:$KI$1569,3,FALSE)</f>
        <v>0</v>
      </c>
      <c r="D17" s="586">
        <f>VLOOKUP("Time To Reduce",Data!$A$1523:$KI$1569,4,FALSE)</f>
        <v>0</v>
      </c>
      <c r="E17" s="582">
        <f>VLOOKUP("Time To Reduce",Data!$A$1523:$KI$1569,5,FALSE)</f>
        <v>0</v>
      </c>
      <c r="F17" s="586">
        <f>VLOOKUP("Time To Reduce",Data!$A$1523:$KI$1569,6,FALSE)</f>
        <v>0</v>
      </c>
      <c r="G17" s="582">
        <f>VLOOKUP("Time To Reduce",Data!$A$1523:$KI$1569,7,FALSE)</f>
        <v>0</v>
      </c>
      <c r="H17" s="586">
        <f>VLOOKUP("Time To Reduce",Data!$A$1523:$KI$1569,8,FALSE)</f>
        <v>0</v>
      </c>
      <c r="I17" s="582">
        <f>VLOOKUP("Time To Reduce",Data!$A$1523:$KI$1569,9,FALSE)</f>
        <v>0</v>
      </c>
      <c r="J17" s="586">
        <f>VLOOKUP("Time To Reduce",Data!$A$1523:$KI$1569,10,FALSE)</f>
        <v>0</v>
      </c>
      <c r="K17" s="1145">
        <f>VLOOKUP("Time To Reduce",Data!$A$1523:$KI$1569,11,FALSE)</f>
        <v>0</v>
      </c>
      <c r="L17" s="1157" t="s">
        <v>159</v>
      </c>
      <c r="M17" s="598">
        <f>VLOOKUP("Start Yel",Data!$A$1605:$K$1648,2,FALSE)</f>
        <v>0</v>
      </c>
      <c r="N17" s="598">
        <f>VLOOKUP("Start Yel",Data!$A$1605:$K$1648,3,FALSE)</f>
        <v>0</v>
      </c>
      <c r="O17" s="598">
        <f>VLOOKUP("Start Yel",Data!$A$1605:$K$1648,4,FALSE)</f>
        <v>0</v>
      </c>
      <c r="P17" s="598">
        <f>VLOOKUP("Start Yel",Data!$A$1605:$K$1648,5,FALSE)</f>
        <v>0</v>
      </c>
      <c r="Q17" s="598">
        <f>VLOOKUP("Start Yel",Data!$A$1605:$K$1648,6,FALSE)</f>
        <v>0</v>
      </c>
      <c r="R17" s="598">
        <f>VLOOKUP("Start Yel",Data!$A$1605:$K$1648,7,FALSE)</f>
        <v>0</v>
      </c>
      <c r="S17" s="598">
        <f>VLOOKUP("Start Yel",Data!$A$1605:$K$1648,8,FALSE)</f>
        <v>0</v>
      </c>
      <c r="T17" s="598">
        <f>VLOOKUP("Start Yel",Data!$A$1605:$K$1648,9,FALSE)</f>
        <v>0</v>
      </c>
      <c r="U17" s="598">
        <f>VLOOKUP("Start Yel",Data!$A$1605:$K$1648,10,FALSE)</f>
        <v>0</v>
      </c>
      <c r="V17" s="1158">
        <f>VLOOKUP("Start Yel",Data!$A$1605:$K$1648,11,FALSE)</f>
        <v>0</v>
      </c>
      <c r="W17" s="1438" t="s">
        <v>634</v>
      </c>
      <c r="X17" s="1655"/>
      <c r="Y17" s="1655"/>
      <c r="Z17" s="1558" t="str">
        <f>VLOOKUP("Aux Switch Function",Data!$A:$I, 2,FALSE)</f>
        <v>STOPTM</v>
      </c>
      <c r="AA17" s="1559"/>
      <c r="AB17" s="1648" t="s">
        <v>180</v>
      </c>
      <c r="AC17" s="1649"/>
      <c r="AD17" s="1649"/>
      <c r="AE17" s="1542" t="str">
        <f>VLOOKUP("LPAlt Source",Data!$A:$B, 2,FALSE)</f>
        <v>3-6</v>
      </c>
      <c r="AF17" s="1543"/>
      <c r="AG17" s="1541">
        <v>5</v>
      </c>
      <c r="AH17" s="445">
        <v>1</v>
      </c>
      <c r="AI17" s="1328">
        <f>VLOOKUP("Ring P1",Data!$A$2234:$E$2244,2,FALSE)</f>
        <v>1</v>
      </c>
      <c r="AJ17" s="1328">
        <f>VLOOKUP("Ring P2",Data!$A$2234:$E$2244,2,FALSE)</f>
        <v>2</v>
      </c>
      <c r="AK17" s="1328">
        <f>VLOOKUP("Ring P3",Data!$A$2234:$E$2244,2,FALSE)</f>
        <v>3</v>
      </c>
      <c r="AL17" s="1328">
        <f>VLOOKUP("Ring P4",Data!$A$2234:$E$2244,2,FALSE)</f>
        <v>4</v>
      </c>
      <c r="AM17" s="1328">
        <f>VLOOKUP("Ring P5",Data!$A$2234:$E$2244,2,FALSE)</f>
        <v>0</v>
      </c>
      <c r="AN17" s="1329">
        <f>VLOOKUP("Ring P6",Data!$A$2234:$E$2244,2,FALSE)</f>
        <v>0</v>
      </c>
      <c r="AO17" s="22"/>
      <c r="AP17" s="20"/>
      <c r="AQ17" s="17"/>
      <c r="AR17" s="17"/>
      <c r="AS17" s="17"/>
      <c r="AT17" s="21"/>
      <c r="AU17"/>
      <c r="AV17"/>
      <c r="AW17"/>
      <c r="AX17"/>
      <c r="AY17"/>
      <c r="AZ17"/>
      <c r="BA17"/>
      <c r="BB17"/>
      <c r="BC17"/>
      <c r="BD17" s="10"/>
      <c r="BE17" s="10"/>
      <c r="BF17" s="10"/>
      <c r="BG17" s="10"/>
      <c r="BH17" s="10"/>
    </row>
    <row r="18" spans="1:60" ht="12" customHeight="1">
      <c r="A18" s="300" t="s">
        <v>45</v>
      </c>
      <c r="B18" s="586">
        <f>VLOOKUP("Reduce By",Data!$A$1523:$KI$1569,2,FALSE)</f>
        <v>0</v>
      </c>
      <c r="C18" s="582">
        <f>VLOOKUP("Reduce By",Data!$A$1523:$KI$1569,3,FALSE)</f>
        <v>0</v>
      </c>
      <c r="D18" s="586">
        <f>VLOOKUP("Reduce By",Data!$A$1523:$KI$1569,4,FALSE)</f>
        <v>0</v>
      </c>
      <c r="E18" s="582">
        <f>VLOOKUP("Reduce By",Data!$A$1523:$KI$1569,5,FALSE)</f>
        <v>0</v>
      </c>
      <c r="F18" s="586">
        <f>VLOOKUP("Reduce By",Data!$A$1523:$KI$1569,6,FALSE)</f>
        <v>0</v>
      </c>
      <c r="G18" s="582">
        <f>VLOOKUP("Reduce By",Data!$A$1523:$KI$1569,7,FALSE)</f>
        <v>0</v>
      </c>
      <c r="H18" s="586">
        <f>VLOOKUP("Reduce By",Data!$A$1523:$KI$1569,8,FALSE)</f>
        <v>0</v>
      </c>
      <c r="I18" s="582">
        <f>VLOOKUP("Reduce By",Data!$A$1523:$KI$1569,9,FALSE)</f>
        <v>0</v>
      </c>
      <c r="J18" s="586">
        <f>VLOOKUP("Reduce By",Data!$A$1523:$KI$1569,10,FALSE)</f>
        <v>0</v>
      </c>
      <c r="K18" s="1145">
        <f>VLOOKUP("Reduce By",Data!$A$1523:$KI$1569,11,FALSE)</f>
        <v>0</v>
      </c>
      <c r="L18" s="1337" t="s">
        <v>1067</v>
      </c>
      <c r="M18" s="599" t="s">
        <v>34</v>
      </c>
      <c r="N18" s="600" t="s">
        <v>34</v>
      </c>
      <c r="O18" s="600" t="s">
        <v>34</v>
      </c>
      <c r="P18" s="600" t="s">
        <v>34</v>
      </c>
      <c r="Q18" s="600" t="s">
        <v>34</v>
      </c>
      <c r="R18" s="600" t="s">
        <v>34</v>
      </c>
      <c r="S18" s="600" t="s">
        <v>34</v>
      </c>
      <c r="T18" s="600" t="s">
        <v>34</v>
      </c>
      <c r="U18" s="601"/>
      <c r="V18" s="602"/>
      <c r="W18" s="1656" t="s">
        <v>1069</v>
      </c>
      <c r="X18" s="1651"/>
      <c r="Y18" s="1651"/>
      <c r="Z18" s="1558" t="str">
        <f>VLOOKUP("FYA Inhibit RedStart",Data!$A:$I, 2,FALSE)</f>
        <v>OFF</v>
      </c>
      <c r="AA18" s="1559"/>
      <c r="AB18" s="1650" t="s">
        <v>1602</v>
      </c>
      <c r="AC18" s="1651"/>
      <c r="AD18" s="1651"/>
      <c r="AE18" s="1549">
        <f>VLOOKUP("Security Delay",Data!$A:$I, 2,FALSE)</f>
        <v>0</v>
      </c>
      <c r="AF18" s="1550"/>
      <c r="AG18" s="1541"/>
      <c r="AH18" s="444">
        <v>2</v>
      </c>
      <c r="AI18" s="1328">
        <f>VLOOKUP("Ring P1",Data!$A$2234:$E$2244,3,FALSE)</f>
        <v>5</v>
      </c>
      <c r="AJ18" s="1328">
        <f>VLOOKUP("Ring P2",Data!$A$2234:$E$2244,3,FALSE)</f>
        <v>6</v>
      </c>
      <c r="AK18" s="1328">
        <f>VLOOKUP("Ring P3",Data!$A$2234:$E$2244,3,FALSE)</f>
        <v>8</v>
      </c>
      <c r="AL18" s="1328">
        <f>VLOOKUP("Ring P4",Data!$A$2234:$E$2244,3,FALSE)</f>
        <v>7</v>
      </c>
      <c r="AM18" s="1328">
        <f>VLOOKUP("Ring P5",Data!$A$2234:$E$2244,3,FALSE)</f>
        <v>0</v>
      </c>
      <c r="AN18" s="1329">
        <f>VLOOKUP("Ring P6",Data!$A$2234:$E$2244,3,FALSE)</f>
        <v>0</v>
      </c>
      <c r="AO18" s="22"/>
      <c r="AP18" s="17"/>
      <c r="AQ18" s="17"/>
      <c r="AR18" s="17"/>
      <c r="AS18" s="17"/>
      <c r="AT18" s="17"/>
      <c r="AU18" s="519"/>
      <c r="AV18"/>
      <c r="AW18"/>
      <c r="AX18"/>
      <c r="AY18"/>
      <c r="AZ18"/>
      <c r="BA18"/>
      <c r="BB18"/>
      <c r="BC18"/>
      <c r="BD18" s="10"/>
      <c r="BE18" s="10"/>
      <c r="BF18" s="10"/>
      <c r="BG18" s="10"/>
      <c r="BH18" s="10"/>
    </row>
    <row r="19" spans="1:60" ht="12" customHeight="1" thickBot="1">
      <c r="A19" s="300" t="s">
        <v>46</v>
      </c>
      <c r="B19" s="586">
        <f>VLOOKUP("Min Gap",Data!$A$1523:$KI$1569,2,FALSE)</f>
        <v>0</v>
      </c>
      <c r="C19" s="582">
        <f>VLOOKUP("Min Gap",Data!$A$1523:$KI$1569,3,FALSE)</f>
        <v>0</v>
      </c>
      <c r="D19" s="586">
        <f>VLOOKUP("Min Gap",Data!$A$1523:$KI$1569,4,FALSE)</f>
        <v>0</v>
      </c>
      <c r="E19" s="582">
        <f>VLOOKUP("Min Gap",Data!$A$1523:$KI$1569,5,FALSE)</f>
        <v>0</v>
      </c>
      <c r="F19" s="586">
        <f>VLOOKUP("Min Gap",Data!$A$1523:$KI$1569,6,FALSE)</f>
        <v>0</v>
      </c>
      <c r="G19" s="582">
        <f>VLOOKUP("Min Gap",Data!$A$1523:$KI$1569,7,FALSE)</f>
        <v>0</v>
      </c>
      <c r="H19" s="586">
        <f>VLOOKUP("Min Gap",Data!$A$1523:$KI$1569,8,FALSE)</f>
        <v>0</v>
      </c>
      <c r="I19" s="582">
        <f>VLOOKUP("Min Gap",Data!$A$1523:$KI$1569,9,FALSE)</f>
        <v>0</v>
      </c>
      <c r="J19" s="586">
        <f>VLOOKUP("Min Gap",Data!$A$1523:$KI$1569,10,FALSE)</f>
        <v>0</v>
      </c>
      <c r="K19" s="1145">
        <f>VLOOKUP("Min Gap",Data!$A$1523:$KI$1569,11,FALSE)</f>
        <v>0</v>
      </c>
      <c r="L19" s="1338" t="s">
        <v>1068</v>
      </c>
      <c r="M19" s="603"/>
      <c r="N19" s="604"/>
      <c r="O19" s="604"/>
      <c r="P19" s="604"/>
      <c r="Q19" s="604"/>
      <c r="R19" s="604"/>
      <c r="S19" s="604"/>
      <c r="T19" s="605"/>
      <c r="U19" s="606"/>
      <c r="V19" s="607"/>
      <c r="W19" s="1660" t="s">
        <v>3918</v>
      </c>
      <c r="X19" s="1661"/>
      <c r="Y19" s="1661"/>
      <c r="Z19" s="1593">
        <v>0</v>
      </c>
      <c r="AA19" s="1594"/>
      <c r="AB19" s="1617"/>
      <c r="AC19" s="1618"/>
      <c r="AD19" s="1618"/>
      <c r="AE19" s="1595"/>
      <c r="AF19" s="1596"/>
      <c r="AG19" s="1474">
        <v>6</v>
      </c>
      <c r="AH19" s="333">
        <v>1</v>
      </c>
      <c r="AI19" s="658">
        <f>VLOOKUP("Ring P1",Data!$A$2245:$E$2255,2,FALSE)</f>
        <v>1</v>
      </c>
      <c r="AJ19" s="658">
        <f>VLOOKUP("Ring P2",Data!$A$2245:$E$2255,2,FALSE)</f>
        <v>2</v>
      </c>
      <c r="AK19" s="658">
        <f>VLOOKUP("Ring P3",Data!$A$2245:$E$2255,2,FALSE)</f>
        <v>3</v>
      </c>
      <c r="AL19" s="658">
        <f>VLOOKUP("Ring P4",Data!$A$2245:$E$2255,2,FALSE)</f>
        <v>4</v>
      </c>
      <c r="AM19" s="658">
        <f>VLOOKUP("Ring P5",Data!$A$2251:$E$2251,2,FALSE)</f>
        <v>0</v>
      </c>
      <c r="AN19" s="659">
        <f>VLOOKUP("Ring P6",Data!$A$2252:$E$2252,2,FALSE)</f>
        <v>0</v>
      </c>
      <c r="AO19" s="23"/>
      <c r="AP19" s="20"/>
      <c r="AQ19" s="17"/>
      <c r="AR19" s="17"/>
      <c r="AS19" s="17"/>
      <c r="AT19" s="21"/>
      <c r="AU19"/>
      <c r="AV19"/>
      <c r="AW19"/>
      <c r="AX19"/>
      <c r="AY19"/>
      <c r="AZ19"/>
      <c r="BA19"/>
      <c r="BB19"/>
      <c r="BC19"/>
      <c r="BD19" s="10"/>
      <c r="BE19" s="10"/>
      <c r="BF19" s="10"/>
      <c r="BG19" s="10"/>
      <c r="BH19" s="10"/>
    </row>
    <row r="20" spans="1:60" ht="12" customHeight="1" thickBot="1">
      <c r="A20" s="300" t="s">
        <v>164</v>
      </c>
      <c r="B20" s="586">
        <f>VLOOKUP("Dynamic Max Limit",Data!$A$1523:$KI$1569,2,FALSE)</f>
        <v>0</v>
      </c>
      <c r="C20" s="582">
        <f>VLOOKUP("Dynamic Max Limit",Data!$A$1523:$KI$1569,3,FALSE)</f>
        <v>0</v>
      </c>
      <c r="D20" s="586">
        <f>VLOOKUP("Dynamic Max Limit",Data!$A$1523:$KI$1569,4,FALSE)</f>
        <v>0</v>
      </c>
      <c r="E20" s="582">
        <f>VLOOKUP("Dynamic Max Limit",Data!$A$1523:$KI$1569,5,FALSE)</f>
        <v>0</v>
      </c>
      <c r="F20" s="586">
        <f>VLOOKUP("Dynamic Max Limit",Data!$A$1523:$KI$1569,6,FALSE)</f>
        <v>0</v>
      </c>
      <c r="G20" s="582">
        <f>VLOOKUP("Dynamic Max Limit",Data!$A$1523:$KI$1569,7,FALSE)</f>
        <v>0</v>
      </c>
      <c r="H20" s="586">
        <f>VLOOKUP("Dynamic Max Limit",Data!$A$1523:$KI$1569,8,FALSE)</f>
        <v>0</v>
      </c>
      <c r="I20" s="582">
        <f>VLOOKUP("Dynamic Max Limit",Data!$A$1523:$KI$1569,9,FALSE)</f>
        <v>0</v>
      </c>
      <c r="J20" s="586">
        <f>VLOOKUP("Dynamic Max Limit",Data!$A$1523:$KI$1569,10,FALSE)</f>
        <v>0</v>
      </c>
      <c r="K20" s="590">
        <f>VLOOKUP("Dynamic Max Limit",Data!$A$1523:$KI$1569,11,FALSE)</f>
        <v>0</v>
      </c>
      <c r="L20" s="1416" t="s">
        <v>161</v>
      </c>
      <c r="M20" s="1416"/>
      <c r="N20" s="1416"/>
      <c r="O20" s="1416"/>
      <c r="P20" s="1416"/>
      <c r="Q20" s="1416"/>
      <c r="R20" s="1416"/>
      <c r="S20" s="1416"/>
      <c r="T20" s="1416"/>
      <c r="U20" s="1416"/>
      <c r="V20" s="1417"/>
      <c r="W20" s="1657"/>
      <c r="X20" s="1618"/>
      <c r="Y20" s="1618"/>
      <c r="Z20" s="1595"/>
      <c r="AA20" s="1596"/>
      <c r="AB20" s="1617"/>
      <c r="AC20" s="1618"/>
      <c r="AD20" s="1618"/>
      <c r="AE20" s="1595"/>
      <c r="AF20" s="1596"/>
      <c r="AG20" s="1474"/>
      <c r="AH20" s="334">
        <v>2</v>
      </c>
      <c r="AI20" s="658">
        <f>VLOOKUP("Ring P1",Data!$A$2245:$E$2255,3,FALSE)</f>
        <v>6</v>
      </c>
      <c r="AJ20" s="658">
        <f>VLOOKUP("Ring P2",Data!$A$2245:$E$2255,3,FALSE)</f>
        <v>5</v>
      </c>
      <c r="AK20" s="658">
        <f>VLOOKUP("Ring P3",Data!$A$2245:$E$2255,3,FALSE)</f>
        <v>8</v>
      </c>
      <c r="AL20" s="658">
        <f>VLOOKUP("Ring P4",Data!$A$2245:$E$2255,3,FALSE)</f>
        <v>7</v>
      </c>
      <c r="AM20" s="658">
        <f>VLOOKUP("Ring P5",Data!$A$2251:$E$2251,3,FALSE)</f>
        <v>0</v>
      </c>
      <c r="AN20" s="659">
        <f>VLOOKUP("Ring P6",Data!$A$2252:$E$2252,3,FALSE)</f>
        <v>0</v>
      </c>
      <c r="AO20" s="23"/>
      <c r="AP20" s="17"/>
      <c r="AQ20" s="17"/>
      <c r="AR20" s="17"/>
      <c r="AS20" s="17"/>
      <c r="AT20"/>
      <c r="AU20"/>
      <c r="AV20"/>
      <c r="AW20"/>
      <c r="AX20"/>
      <c r="AY20"/>
      <c r="AZ20"/>
      <c r="BA20"/>
      <c r="BB20"/>
      <c r="BC20"/>
      <c r="BD20" s="10"/>
      <c r="BE20" s="10"/>
      <c r="BF20" s="10"/>
      <c r="BG20" s="10"/>
      <c r="BH20" s="10"/>
    </row>
    <row r="21" spans="1:60" ht="12" customHeight="1" thickBot="1">
      <c r="A21" s="1319" t="s">
        <v>166</v>
      </c>
      <c r="B21" s="588">
        <f>VLOOKUP("Dynamic Max Step",Data!$A$1523:$KI$1569,2,FALSE)</f>
        <v>0</v>
      </c>
      <c r="C21" s="584">
        <f>VLOOKUP("Dynamic Max Step",Data!$A$1523:$KI$1569,3,FALSE)</f>
        <v>0</v>
      </c>
      <c r="D21" s="588">
        <f>VLOOKUP("Dynamic Max Step",Data!$A$1523:$KI$1569,4,FALSE)</f>
        <v>0</v>
      </c>
      <c r="E21" s="584">
        <f>VLOOKUP("Dynamic Max Step",Data!$A$1523:$KI$1569,5,FALSE)</f>
        <v>0</v>
      </c>
      <c r="F21" s="588">
        <f>VLOOKUP("Dynamic Max Step",Data!$A$1523:$KI$1569,6,FALSE)</f>
        <v>0</v>
      </c>
      <c r="G21" s="584">
        <f>VLOOKUP("Dynamic Max Step",Data!$A$1523:$KI$1569,7,FALSE)</f>
        <v>0</v>
      </c>
      <c r="H21" s="588">
        <f>VLOOKUP("Dynamic Max Step",Data!$A$1523:$KI$1569,8,FALSE)</f>
        <v>0</v>
      </c>
      <c r="I21" s="584">
        <f>VLOOKUP("Dynamic Max Step",Data!$A$1523:$KI$1569,9,FALSE)</f>
        <v>0</v>
      </c>
      <c r="J21" s="588">
        <f>VLOOKUP("Dynamic Max Step",Data!$A$1523:$KI$1569,10,FALSE)</f>
        <v>0</v>
      </c>
      <c r="K21" s="592">
        <f>VLOOKUP("Dynamic Max Step",Data!$A$1523:$KI$1569,11,FALSE)</f>
        <v>0</v>
      </c>
      <c r="L21" s="629" t="s">
        <v>36</v>
      </c>
      <c r="M21" s="630" t="s">
        <v>122</v>
      </c>
      <c r="N21" s="1517" t="s">
        <v>162</v>
      </c>
      <c r="O21" s="1517"/>
      <c r="P21" s="1631" t="s">
        <v>163</v>
      </c>
      <c r="Q21" s="1632"/>
      <c r="R21" s="1632"/>
      <c r="S21" s="1632"/>
      <c r="T21" s="1632"/>
      <c r="U21" s="1632"/>
      <c r="V21" s="1633"/>
      <c r="W21" s="1657"/>
      <c r="X21" s="1618"/>
      <c r="Y21" s="1618"/>
      <c r="Z21" s="1595"/>
      <c r="AA21" s="1596"/>
      <c r="AB21" s="1617"/>
      <c r="AC21" s="1618"/>
      <c r="AD21" s="1618"/>
      <c r="AE21" s="1595"/>
      <c r="AF21" s="1596"/>
      <c r="AG21" s="1541">
        <v>7</v>
      </c>
      <c r="AH21" s="445">
        <v>1</v>
      </c>
      <c r="AI21" s="1322">
        <f>VLOOKUP("Ring P1",Data!$A$2258:$E$2258,2,FALSE)</f>
        <v>2</v>
      </c>
      <c r="AJ21" s="1322">
        <f>VLOOKUP("Ring P2",Data!$A$2259:$E$2259,2,FALSE)</f>
        <v>1</v>
      </c>
      <c r="AK21" s="1322">
        <f>VLOOKUP("Ring P3",Data!$A$2260:$E$2260,2,FALSE)</f>
        <v>3</v>
      </c>
      <c r="AL21" s="1322">
        <f>VLOOKUP("Ring P4",Data!$A$2261:$E$2261,2,FALSE)</f>
        <v>4</v>
      </c>
      <c r="AM21" s="1322">
        <f>VLOOKUP("Ring P5",Data!$A$2262:$E$2262,2,FALSE)</f>
        <v>0</v>
      </c>
      <c r="AN21" s="1323">
        <f>VLOOKUP("Ring P6",Data!$A$2263:$E$2263,2,FALSE)</f>
        <v>0</v>
      </c>
      <c r="AO21" s="22"/>
      <c r="AP21" s="20"/>
      <c r="AQ21" s="17"/>
      <c r="AR21" s="17"/>
      <c r="AS21" s="17"/>
      <c r="AT21"/>
      <c r="AU21"/>
      <c r="AV21"/>
      <c r="AW21"/>
      <c r="AX21"/>
      <c r="AY21"/>
      <c r="AZ21"/>
      <c r="BA21"/>
      <c r="BB21"/>
      <c r="BC21"/>
      <c r="BD21" s="10"/>
      <c r="BE21" s="10"/>
      <c r="BF21" s="10"/>
      <c r="BG21" s="10"/>
      <c r="BH21" s="10"/>
    </row>
    <row r="22" spans="1:60" ht="12" customHeight="1" thickBot="1">
      <c r="A22" s="234" t="s">
        <v>167</v>
      </c>
      <c r="B22" s="235">
        <v>1</v>
      </c>
      <c r="C22" s="235">
        <v>2</v>
      </c>
      <c r="D22" s="235">
        <v>3</v>
      </c>
      <c r="E22" s="235">
        <v>4</v>
      </c>
      <c r="F22" s="235">
        <v>5</v>
      </c>
      <c r="G22" s="235">
        <v>6</v>
      </c>
      <c r="H22" s="235">
        <v>7</v>
      </c>
      <c r="I22" s="559">
        <v>8</v>
      </c>
      <c r="J22" s="559">
        <v>9</v>
      </c>
      <c r="K22" s="559">
        <v>10</v>
      </c>
      <c r="L22" s="513">
        <v>1</v>
      </c>
      <c r="M22" s="514">
        <f>VLOOKUP("Ring",Data!$A:$Q,2,FALSE)</f>
        <v>1</v>
      </c>
      <c r="N22" s="1515" t="str">
        <f>VLOOKUP("Startup",Data!$A:$Q,2,FALSE)</f>
        <v>RED</v>
      </c>
      <c r="O22" s="1515" t="e">
        <f>VLOOKUP("Concur 1",#REF!,2,FALSE)</f>
        <v>#REF!</v>
      </c>
      <c r="P22" s="610">
        <f>VLOOKUP("Concur 1",Data!$A:$Q,2,FALSE)</f>
        <v>5</v>
      </c>
      <c r="Q22" s="610">
        <f>VLOOKUP("Concur 2",Data!$A:$Q,2,FALSE)</f>
        <v>6</v>
      </c>
      <c r="R22" s="610">
        <f>VLOOKUP("Concur 3",Data!$A:$Q,2,FALSE)</f>
        <v>0</v>
      </c>
      <c r="S22" s="610">
        <f>VLOOKUP("Concur 4",Data!$A:$Q,2,FALSE)</f>
        <v>0</v>
      </c>
      <c r="T22" s="611"/>
      <c r="U22" s="611"/>
      <c r="V22" s="612"/>
      <c r="W22" s="1673"/>
      <c r="X22" s="1620"/>
      <c r="Y22" s="1620"/>
      <c r="Z22" s="1671"/>
      <c r="AA22" s="1672"/>
      <c r="AB22" s="1619"/>
      <c r="AC22" s="1620"/>
      <c r="AD22" s="1620"/>
      <c r="AE22" s="1671"/>
      <c r="AF22" s="1672"/>
      <c r="AG22" s="1541"/>
      <c r="AH22" s="444">
        <v>2</v>
      </c>
      <c r="AI22" s="1322">
        <f>VLOOKUP("Ring P1",Data!$A$2258:$E$2258,3,FALSE)</f>
        <v>5</v>
      </c>
      <c r="AJ22" s="1322">
        <f>VLOOKUP("Ring P2",Data!$A$2259:$E$2259,3,FALSE)</f>
        <v>6</v>
      </c>
      <c r="AK22" s="1322">
        <f>VLOOKUP("Ring P3",Data!$A$2260:$E$2260,3,FALSE)</f>
        <v>8</v>
      </c>
      <c r="AL22" s="1322">
        <f>VLOOKUP("Ring P4",Data!$A$2261:$E$2261,3,FALSE)</f>
        <v>7</v>
      </c>
      <c r="AM22" s="1322">
        <f>VLOOKUP("Ring P5",Data!$A$2262:$E$2262,3,FALSE)</f>
        <v>0</v>
      </c>
      <c r="AN22" s="1323">
        <f>VLOOKUP("Ring P6",Data!$A$2263:$E$2263,3,FALSE)</f>
        <v>0</v>
      </c>
      <c r="AO22" s="22"/>
      <c r="AP22" s="17"/>
      <c r="AQ22" s="17"/>
      <c r="AR22" s="17"/>
      <c r="AS22" s="17"/>
      <c r="AT22"/>
      <c r="AU22"/>
      <c r="AV22"/>
      <c r="AW22"/>
      <c r="AX22"/>
      <c r="AY22"/>
      <c r="AZ22"/>
      <c r="BA22" s="467"/>
      <c r="BB22"/>
      <c r="BC22"/>
      <c r="BD22" s="10"/>
      <c r="BE22" s="10"/>
      <c r="BF22" s="10"/>
      <c r="BG22" s="10"/>
      <c r="BH22" s="10"/>
    </row>
    <row r="23" spans="1:60" ht="12" customHeight="1" thickTop="1">
      <c r="A23" s="299" t="s">
        <v>112</v>
      </c>
      <c r="B23" s="585" t="str">
        <f>IF(VLOOKUP("Enable",Data!$A$1523:$K$1569,2,FALSE)= "On", "X", " ")</f>
        <v>X</v>
      </c>
      <c r="C23" s="581" t="str">
        <f>IF(VLOOKUP("Enable",Data!$A$1523:$K$1569,3,FALSE)= "On", "X", " ")</f>
        <v>X</v>
      </c>
      <c r="D23" s="585" t="str">
        <f>IF(VLOOKUP("Enable",Data!$A$1523:$K$1569,4,FALSE)= "On", "X", " ")</f>
        <v>X</v>
      </c>
      <c r="E23" s="581" t="str">
        <f>IF(VLOOKUP("Enable",Data!$A$1523:$K$1569,5,FALSE)= "On", "X", " ")</f>
        <v>X</v>
      </c>
      <c r="F23" s="585" t="str">
        <f>IF(VLOOKUP("Enable",Data!$A$1523:$K$1569,6,FALSE)= "On", "X", " ")</f>
        <v>X</v>
      </c>
      <c r="G23" s="581" t="str">
        <f>IF(VLOOKUP("Enable",Data!$A$1523:$K$1569,7,FALSE)= "On", "X", " ")</f>
        <v>X</v>
      </c>
      <c r="H23" s="585" t="str">
        <f>IF(VLOOKUP("Enable",Data!$A$1523:$K$1569,8,FALSE)= "On", "X", " ")</f>
        <v>X</v>
      </c>
      <c r="I23" s="581" t="str">
        <f>IF(VLOOKUP("Enable",Data!$A$1523:$K$1569,9,FALSE)= "On", "X", " ")</f>
        <v>X</v>
      </c>
      <c r="J23" s="585" t="str">
        <f>IF(VLOOKUP("Enable",Data!$A$1523:$K$1569,10,FALSE)= "On", "X", " ")</f>
        <v xml:space="preserve"> </v>
      </c>
      <c r="K23" s="581" t="str">
        <f>IF(VLOOKUP("Enable",Data!$A$1523:$K$1569,11,FALSE)= "On", "X", " ")</f>
        <v xml:space="preserve"> </v>
      </c>
      <c r="L23" s="504">
        <v>2</v>
      </c>
      <c r="M23" s="159">
        <f>VLOOKUP("Ring",Data!$A:$Q,3,FALSE)</f>
        <v>1</v>
      </c>
      <c r="N23" s="1516" t="str">
        <f>VLOOKUP("Startup",Data!$A:$Q,3,FALSE)</f>
        <v>RED</v>
      </c>
      <c r="O23" s="1516" t="e">
        <f>VLOOKUP("Concur 1",#REF!,2,FALSE)</f>
        <v>#REF!</v>
      </c>
      <c r="P23" s="613">
        <f>VLOOKUP("Concur 1",Data!$A:$Q,3,FALSE)</f>
        <v>5</v>
      </c>
      <c r="Q23" s="613">
        <f>VLOOKUP("Concur 2",Data!$A:$Q,3,FALSE)</f>
        <v>6</v>
      </c>
      <c r="R23" s="613">
        <f>VLOOKUP("Concur 3",Data!$A:$Q,3,FALSE)</f>
        <v>0</v>
      </c>
      <c r="S23" s="613">
        <f>VLOOKUP("Concur 4",Data!$A:$Q,3,FALSE)</f>
        <v>0</v>
      </c>
      <c r="T23" s="614"/>
      <c r="U23" s="614"/>
      <c r="V23" s="615"/>
      <c r="W23" s="1674" t="s">
        <v>1066</v>
      </c>
      <c r="X23" s="1675"/>
      <c r="Y23" s="1675"/>
      <c r="Z23" s="1675"/>
      <c r="AA23" s="1675"/>
      <c r="AB23" s="1675"/>
      <c r="AC23" s="1675"/>
      <c r="AD23" s="1675"/>
      <c r="AE23" s="1675"/>
      <c r="AF23" s="1676"/>
      <c r="AG23" s="1536">
        <v>8</v>
      </c>
      <c r="AH23" s="333">
        <v>1</v>
      </c>
      <c r="AI23" s="1324">
        <f>VLOOKUP("Ring P1",Data!$A$2269:$E$2269,2,FALSE)</f>
        <v>2</v>
      </c>
      <c r="AJ23" s="1324">
        <f>VLOOKUP("Ring P2",Data!$A$2270:$E$2270,2,FALSE)</f>
        <v>1</v>
      </c>
      <c r="AK23" s="1324">
        <f>VLOOKUP("Ring P3",Data!$A$2271:$E$2271,2,FALSE)</f>
        <v>3</v>
      </c>
      <c r="AL23" s="1324">
        <f>VLOOKUP("Ring P4",Data!$A$2272:$E$2272,2,FALSE)</f>
        <v>4</v>
      </c>
      <c r="AM23" s="1324">
        <f>VLOOKUP("Ring P5",Data!$A$2273:$E$2273,2,FALSE)</f>
        <v>0</v>
      </c>
      <c r="AN23" s="1325">
        <f>VLOOKUP("Ring P6",Data!$A$2274:$E$2274,2,FALSE)</f>
        <v>0</v>
      </c>
      <c r="AO23" s="23"/>
      <c r="AP23" s="20"/>
      <c r="AQ23" s="17"/>
      <c r="AR23" s="17"/>
      <c r="AS23" s="17"/>
      <c r="AT23"/>
      <c r="AU23"/>
      <c r="AV23"/>
      <c r="AW23"/>
      <c r="AX23"/>
      <c r="AY23"/>
      <c r="AZ23"/>
      <c r="BA23"/>
      <c r="BB23"/>
      <c r="BC23"/>
      <c r="BD23" s="10"/>
      <c r="BE23" s="10"/>
      <c r="BF23" s="10"/>
      <c r="BG23" s="10"/>
      <c r="BH23" s="10"/>
    </row>
    <row r="24" spans="1:60" ht="12" customHeight="1">
      <c r="A24" s="300" t="s">
        <v>117</v>
      </c>
      <c r="B24" s="586" t="str">
        <f>IF(VLOOKUP("Min Recall",Data!$A$1523:$K$1569,2,FALSE)= "On", "X", " ")</f>
        <v xml:space="preserve"> </v>
      </c>
      <c r="C24" s="582" t="str">
        <f>IF(VLOOKUP("Min Recall",Data!$A$1523:$K$1569,3,FALSE)= "On", "X", " ")</f>
        <v xml:space="preserve"> </v>
      </c>
      <c r="D24" s="586" t="str">
        <f>IF(VLOOKUP("Min Recall",Data!$A$1523:$K$1569,4,FALSE)= "On", "X", " ")</f>
        <v xml:space="preserve"> </v>
      </c>
      <c r="E24" s="582" t="str">
        <f>IF(VLOOKUP("Min Recall",Data!$A$1523:$K$1569,5,FALSE)= "On", "X", " ")</f>
        <v xml:space="preserve"> </v>
      </c>
      <c r="F24" s="586" t="str">
        <f>IF(VLOOKUP("Min Recall",Data!$A$1523:$K$1569,6,FALSE)= "On", "X", " ")</f>
        <v xml:space="preserve"> </v>
      </c>
      <c r="G24" s="582" t="str">
        <f>IF(VLOOKUP("Min Recall",Data!$A$1523:$K$1569,7,FALSE)= "On", "X", " ")</f>
        <v xml:space="preserve"> </v>
      </c>
      <c r="H24" s="586" t="str">
        <f>IF(VLOOKUP("Min Recall",Data!$A$1523:$K$1569,8,FALSE)= "On", "X", " ")</f>
        <v xml:space="preserve"> </v>
      </c>
      <c r="I24" s="582" t="str">
        <f>IF(VLOOKUP("Min Recall",Data!$A$1523:$K$1569,9,FALSE)= "On", "X", " ")</f>
        <v xml:space="preserve"> </v>
      </c>
      <c r="J24" s="586" t="str">
        <f>IF(VLOOKUP("Min Recall",Data!$A$1523:$K$1569,10,FALSE)= "On", "X", " ")</f>
        <v xml:space="preserve"> </v>
      </c>
      <c r="K24" s="582" t="str">
        <f>IF(VLOOKUP("Min Recall",Data!$A$1523:$K$1569,11,FALSE)= "On", "X", " ")</f>
        <v xml:space="preserve"> </v>
      </c>
      <c r="L24" s="504">
        <v>3</v>
      </c>
      <c r="M24" s="159">
        <f>VLOOKUP("Ring",Data!$A:$Q,4,FALSE)</f>
        <v>1</v>
      </c>
      <c r="N24" s="1516" t="str">
        <f>VLOOKUP("Startup",Data!$A:$Q,4,FALSE)</f>
        <v>RED</v>
      </c>
      <c r="O24" s="1516" t="e">
        <f>VLOOKUP("Concur 1",#REF!,2,FALSE)</f>
        <v>#REF!</v>
      </c>
      <c r="P24" s="613">
        <f>VLOOKUP("Concur 1",Data!$A:$Q,4,FALSE)</f>
        <v>7</v>
      </c>
      <c r="Q24" s="613">
        <f>VLOOKUP("Concur 2",Data!$A:$Q,4,FALSE)</f>
        <v>8</v>
      </c>
      <c r="R24" s="613">
        <f>VLOOKUP("Concur 3",Data!$A:$Q,4,FALSE)</f>
        <v>0</v>
      </c>
      <c r="S24" s="613">
        <f>VLOOKUP("Concur 4",Data!$A:$Q,4,FALSE)</f>
        <v>0</v>
      </c>
      <c r="T24" s="614"/>
      <c r="U24" s="614"/>
      <c r="V24" s="615"/>
      <c r="W24" s="1677"/>
      <c r="X24" s="1678"/>
      <c r="Y24" s="1678"/>
      <c r="Z24" s="1678"/>
      <c r="AA24" s="1678"/>
      <c r="AB24" s="1678"/>
      <c r="AC24" s="1678"/>
      <c r="AD24" s="1678"/>
      <c r="AE24" s="1678"/>
      <c r="AF24" s="1679"/>
      <c r="AG24" s="1536"/>
      <c r="AH24" s="334">
        <v>2</v>
      </c>
      <c r="AI24" s="1324">
        <f>VLOOKUP("Ring P1",Data!$A$2269:$E$2269,3,FALSE)</f>
        <v>6</v>
      </c>
      <c r="AJ24" s="1324">
        <f>VLOOKUP("Ring P2",Data!$A$2270:$E$2270,3,FALSE)</f>
        <v>5</v>
      </c>
      <c r="AK24" s="1324">
        <f>VLOOKUP("Ring P3",Data!$A$2271:$E$2271,3,FALSE)</f>
        <v>8</v>
      </c>
      <c r="AL24" s="1324">
        <f>VLOOKUP("Ring P4",Data!$A$2272:$E$2272,3,FALSE)</f>
        <v>7</v>
      </c>
      <c r="AM24" s="1324">
        <f>VLOOKUP("Ring P5",Data!$A$2273:$E$2273,3,FALSE)</f>
        <v>0</v>
      </c>
      <c r="AN24" s="1325">
        <f>VLOOKUP("Ring P6",Data!$A$2274:$E$2274,3,FALSE)</f>
        <v>0</v>
      </c>
      <c r="AO24" s="23"/>
      <c r="AP24" s="17"/>
      <c r="AQ24" s="17"/>
      <c r="AR24" s="17"/>
      <c r="AS24" s="17"/>
      <c r="AT24"/>
      <c r="AU24"/>
      <c r="AV24"/>
      <c r="AW24"/>
      <c r="AX24"/>
      <c r="AY24"/>
      <c r="AZ24"/>
      <c r="BA24"/>
      <c r="BB24"/>
      <c r="BC24"/>
      <c r="BD24" s="10"/>
      <c r="BE24" s="10"/>
      <c r="BF24" s="10"/>
      <c r="BG24" s="10"/>
      <c r="BH24" s="10"/>
    </row>
    <row r="25" spans="1:60" ht="12" customHeight="1" thickBot="1">
      <c r="A25" s="300" t="s">
        <v>114</v>
      </c>
      <c r="B25" s="586" t="str">
        <f>IF(VLOOKUP("Max Recall",Data!$A$1523:$K$1569,2,FALSE)= "On", "X", " ")</f>
        <v xml:space="preserve"> </v>
      </c>
      <c r="C25" s="582" t="str">
        <f>IF(VLOOKUP("Max Recall",Data!$A$1523:$K$1569,3,FALSE)= "On", "X", " ")</f>
        <v xml:space="preserve"> </v>
      </c>
      <c r="D25" s="586" t="str">
        <f>IF(VLOOKUP("Max Recall",Data!$A$1523:$K$1569,4,FALSE)= "On", "X", " ")</f>
        <v xml:space="preserve"> </v>
      </c>
      <c r="E25" s="582" t="str">
        <f>IF(VLOOKUP("Max Recall",Data!$A$1523:$K$1569,5,FALSE)= "On", "X", " ")</f>
        <v xml:space="preserve"> </v>
      </c>
      <c r="F25" s="586" t="str">
        <f>IF(VLOOKUP("Max Recall",Data!$A$1523:$K$1569,6,FALSE)= "On", "X", " ")</f>
        <v xml:space="preserve"> </v>
      </c>
      <c r="G25" s="582" t="str">
        <f>IF(VLOOKUP("Max Recall",Data!$A$1523:$K$1569,7,FALSE)= "On", "X", " ")</f>
        <v xml:space="preserve"> </v>
      </c>
      <c r="H25" s="586" t="str">
        <f>IF(VLOOKUP("Max Recall",Data!$A$1523:$K$1569,8,FALSE)= "On", "X", " ")</f>
        <v xml:space="preserve"> </v>
      </c>
      <c r="I25" s="582" t="str">
        <f>IF(VLOOKUP("Max Recall",Data!$A$1523:$K$1569,9,FALSE)= "On", "X", " ")</f>
        <v xml:space="preserve"> </v>
      </c>
      <c r="J25" s="586" t="str">
        <f>IF(VLOOKUP("Max Recall",Data!$A$1523:$K$1569,10,FALSE)= "On", "X", " ")</f>
        <v xml:space="preserve"> </v>
      </c>
      <c r="K25" s="582" t="str">
        <f>IF(VLOOKUP("Max Recall",Data!$A$1523:$K$1569,11,FALSE)= "On", "X", " ")</f>
        <v xml:space="preserve"> </v>
      </c>
      <c r="L25" s="504">
        <v>4</v>
      </c>
      <c r="M25" s="159">
        <f>VLOOKUP("Ring",Data!$A:$Q,5,FALSE)</f>
        <v>1</v>
      </c>
      <c r="N25" s="1516" t="str">
        <f>VLOOKUP("Startup",Data!$A:$Q,5,FALSE)</f>
        <v>GREEN</v>
      </c>
      <c r="O25" s="1516" t="e">
        <f>VLOOKUP("Concur 1",#REF!,2,FALSE)</f>
        <v>#REF!</v>
      </c>
      <c r="P25" s="613">
        <f>VLOOKUP("Concur 1",Data!$A:$Q,5,FALSE)</f>
        <v>7</v>
      </c>
      <c r="Q25" s="613">
        <f>VLOOKUP("Concur 2",Data!$A:$Q,5,FALSE)</f>
        <v>8</v>
      </c>
      <c r="R25" s="613">
        <f>VLOOKUP("Concur 3",Data!$A:$Q,5,FALSE)</f>
        <v>0</v>
      </c>
      <c r="S25" s="613">
        <f>VLOOKUP("Concur 4",Data!$A:$Q,5,FALSE)</f>
        <v>0</v>
      </c>
      <c r="T25" s="616"/>
      <c r="U25" s="617"/>
      <c r="V25" s="618"/>
      <c r="W25" s="1677"/>
      <c r="X25" s="1678"/>
      <c r="Y25" s="1678"/>
      <c r="Z25" s="1678"/>
      <c r="AA25" s="1678"/>
      <c r="AB25" s="1678"/>
      <c r="AC25" s="1678"/>
      <c r="AD25" s="1678"/>
      <c r="AE25" s="1678"/>
      <c r="AF25" s="1678"/>
      <c r="AG25" s="1537">
        <v>9</v>
      </c>
      <c r="AH25" s="445">
        <v>1</v>
      </c>
      <c r="AI25" s="656">
        <f>VLOOKUP("Ring P1",Data!$A$2280:$E$2280,2,FALSE)</f>
        <v>1</v>
      </c>
      <c r="AJ25" s="656">
        <f>VLOOKUP("Ring P2",Data!$A$2281:$E$2281,2,FALSE)</f>
        <v>2</v>
      </c>
      <c r="AK25" s="656">
        <f>VLOOKUP("Ring P3",Data!$A$2282:$E$2282,2,FALSE)</f>
        <v>4</v>
      </c>
      <c r="AL25" s="656">
        <f>VLOOKUP("Ring P4",Data!$A$2283:$E$2283,2,FALSE)</f>
        <v>3</v>
      </c>
      <c r="AM25" s="656">
        <f>VLOOKUP("Ring P5",Data!$A$2284:$E$2284,2,FALSE)</f>
        <v>0</v>
      </c>
      <c r="AN25" s="657">
        <f>VLOOKUP("Ring P6",Data!$A$2285:$E$2285,2,FALSE)</f>
        <v>0</v>
      </c>
      <c r="AO25" s="22"/>
      <c r="AP25" s="20"/>
      <c r="AQ25" s="17"/>
      <c r="AR25" s="17"/>
      <c r="AS25" s="17"/>
      <c r="AT25"/>
      <c r="AU25"/>
      <c r="AV25"/>
      <c r="AW25"/>
      <c r="AX25"/>
      <c r="AY25"/>
      <c r="AZ25"/>
      <c r="BA25"/>
      <c r="BB25"/>
      <c r="BC25"/>
      <c r="BD25" s="10"/>
      <c r="BE25" s="10"/>
      <c r="BF25" s="10"/>
      <c r="BG25" s="10"/>
      <c r="BH25" s="10"/>
    </row>
    <row r="26" spans="1:60" ht="12" customHeight="1" thickBot="1">
      <c r="A26" s="300" t="s">
        <v>119</v>
      </c>
      <c r="B26" s="586" t="str">
        <f>IF(VLOOKUP("Ped Recall",Data!$A$1523:$K$1569,2,FALSE)= "On", "X", " ")</f>
        <v xml:space="preserve"> </v>
      </c>
      <c r="C26" s="582" t="str">
        <f>IF(VLOOKUP("Ped Recall",Data!$A$1523:$K$1569,3,FALSE)= "On", "X", " ")</f>
        <v xml:space="preserve"> </v>
      </c>
      <c r="D26" s="586" t="str">
        <f>IF(VLOOKUP("Ped Recall",Data!$A$1523:$K$1569,4,FALSE)= "On", "X", " ")</f>
        <v xml:space="preserve"> </v>
      </c>
      <c r="E26" s="582" t="str">
        <f>IF(VLOOKUP("Ped Recall",Data!$A$1523:$K$1569,5,FALSE)= "On", "X", " ")</f>
        <v xml:space="preserve"> </v>
      </c>
      <c r="F26" s="586" t="str">
        <f>IF(VLOOKUP("Ped Recall",Data!$A$1523:$K$1569,6,FALSE)= "On", "X", " ")</f>
        <v xml:space="preserve"> </v>
      </c>
      <c r="G26" s="582" t="str">
        <f>IF(VLOOKUP("Ped Recall",Data!$A$1523:$K$1569,7,FALSE)= "On", "X", " ")</f>
        <v xml:space="preserve"> </v>
      </c>
      <c r="H26" s="586" t="str">
        <f>IF(VLOOKUP("Ped Recall",Data!$A$1523:$K$1569,8,FALSE)= "On", "X", " ")</f>
        <v xml:space="preserve"> </v>
      </c>
      <c r="I26" s="582" t="str">
        <f>IF(VLOOKUP("Ped Recall",Data!$A$1523:$K$1569,9,FALSE)= "On", "X", " ")</f>
        <v xml:space="preserve"> </v>
      </c>
      <c r="J26" s="586" t="str">
        <f>IF(VLOOKUP("Ped Recall",Data!$A$1523:$K$1569,10,FALSE)= "On", "X", " ")</f>
        <v xml:space="preserve"> </v>
      </c>
      <c r="K26" s="582" t="str">
        <f>IF(VLOOKUP("Ped Recall",Data!$A$1523:$K$1569,11,FALSE)= "On", "X", " ")</f>
        <v xml:space="preserve"> </v>
      </c>
      <c r="L26" s="505">
        <v>5</v>
      </c>
      <c r="M26" s="233">
        <f>VLOOKUP("Ring",Data!$A:$Q,6,FALSE)</f>
        <v>2</v>
      </c>
      <c r="N26" s="1514" t="str">
        <f>VLOOKUP("Startup",Data!$A:$Q,6,FALSE)</f>
        <v>RED</v>
      </c>
      <c r="O26" s="1514" t="e">
        <f>VLOOKUP("Concur 1",#REF!,2,FALSE)</f>
        <v>#REF!</v>
      </c>
      <c r="P26" s="1301">
        <f>VLOOKUP("Concur 1",Data!$A:$Q,6,FALSE)</f>
        <v>1</v>
      </c>
      <c r="Q26" s="1301">
        <f>VLOOKUP("Concur 2",Data!$A:$Q,6,FALSE)</f>
        <v>2</v>
      </c>
      <c r="R26" s="1301">
        <f>VLOOKUP("Concur 3",Data!$A:$Q,6,FALSE)</f>
        <v>0</v>
      </c>
      <c r="S26" s="1301">
        <f>VLOOKUP("Concur 4",Data!$A:$Q,6,FALSE)</f>
        <v>0</v>
      </c>
      <c r="T26" s="619"/>
      <c r="U26" s="620"/>
      <c r="V26" s="1300"/>
      <c r="W26" s="1518" t="s">
        <v>182</v>
      </c>
      <c r="X26" s="1519"/>
      <c r="Y26" s="1519"/>
      <c r="Z26" s="1519"/>
      <c r="AA26" s="1519"/>
      <c r="AB26" s="1519"/>
      <c r="AC26" s="1519"/>
      <c r="AD26" s="1519"/>
      <c r="AE26" s="1519"/>
      <c r="AF26" s="1519"/>
      <c r="AG26" s="1537"/>
      <c r="AH26" s="444">
        <v>2</v>
      </c>
      <c r="AI26" s="656">
        <f>VLOOKUP("Ring P1",Data!$A$2280:$E$2280,3,FALSE)</f>
        <v>5</v>
      </c>
      <c r="AJ26" s="656">
        <f>VLOOKUP("Ring P2",Data!$A$2281:$E$2281,3,FALSE)</f>
        <v>6</v>
      </c>
      <c r="AK26" s="656">
        <f>VLOOKUP("Ring P3",Data!$A$2282:$E$2282,3,FALSE)</f>
        <v>7</v>
      </c>
      <c r="AL26" s="656">
        <f>VLOOKUP("Ring P4",Data!$A$2283:$E$2283,3,FALSE)</f>
        <v>8</v>
      </c>
      <c r="AM26" s="656">
        <f>VLOOKUP("Ring P5",Data!$A$2284:$E$2284,3,FALSE)</f>
        <v>0</v>
      </c>
      <c r="AN26" s="657">
        <f>VLOOKUP("Ring P6",Data!$A$2285:$E$2285,3,FALSE)</f>
        <v>0</v>
      </c>
      <c r="AO26" s="22"/>
      <c r="AP26" s="17"/>
      <c r="AQ26" s="17"/>
      <c r="AR26" s="17"/>
      <c r="AS26" s="17"/>
      <c r="AT26"/>
      <c r="AU26"/>
      <c r="AV26"/>
      <c r="AW26"/>
      <c r="AX26"/>
      <c r="AY26"/>
      <c r="AZ26"/>
      <c r="BA26"/>
      <c r="BB26"/>
      <c r="BC26"/>
      <c r="BD26" s="10"/>
      <c r="BE26" s="10"/>
      <c r="BF26" s="10"/>
      <c r="BG26" s="10"/>
      <c r="BH26" s="10"/>
    </row>
    <row r="27" spans="1:60" ht="12" customHeight="1" thickBot="1">
      <c r="A27" s="300" t="s">
        <v>123</v>
      </c>
      <c r="B27" s="586" t="str">
        <f>IF(VLOOKUP("Soft Recall",Data!$A$1523:$K$1569,2,FALSE)= "On", "X", " ")</f>
        <v xml:space="preserve"> </v>
      </c>
      <c r="C27" s="582" t="str">
        <f>IF(VLOOKUP("Soft Recall",Data!$A$1523:$K$1569,3,FALSE)= "On", "X", " ")</f>
        <v xml:space="preserve"> </v>
      </c>
      <c r="D27" s="586" t="str">
        <f>IF(VLOOKUP("Soft Recall",Data!$A$1523:$K$1569,4,FALSE)= "On", "X", " ")</f>
        <v xml:space="preserve"> </v>
      </c>
      <c r="E27" s="582" t="s">
        <v>34</v>
      </c>
      <c r="F27" s="586" t="str">
        <f>IF(VLOOKUP("Soft Recall",Data!$A$1523:$K$1569,6,FALSE)= "On", "X", " ")</f>
        <v xml:space="preserve"> </v>
      </c>
      <c r="G27" s="582" t="str">
        <f>IF(VLOOKUP("Soft Recall",Data!$A$1523:$K$1569,7,FALSE)= "On", "X", " ")</f>
        <v xml:space="preserve"> </v>
      </c>
      <c r="H27" s="586" t="str">
        <f>IF(VLOOKUP("Soft Recall",Data!$A$1523:$K$1569,8,FALSE)= "On", "X", " ")</f>
        <v xml:space="preserve"> </v>
      </c>
      <c r="I27" s="582" t="s">
        <v>34</v>
      </c>
      <c r="J27" s="586" t="str">
        <f>IF(VLOOKUP("Soft Recall",Data!$A$1523:$K$1569,10,FALSE)= "On", "X", " ")</f>
        <v xml:space="preserve"> </v>
      </c>
      <c r="K27" s="582" t="str">
        <f>IF(VLOOKUP("Soft Recall",Data!$A$1523:$K$1569,11,FALSE)= "On", "X", " ")</f>
        <v xml:space="preserve"> </v>
      </c>
      <c r="L27" s="505">
        <v>6</v>
      </c>
      <c r="M27" s="233">
        <f>VLOOKUP("Ring",Data!$A:$Q,7,FALSE)</f>
        <v>2</v>
      </c>
      <c r="N27" s="1514" t="str">
        <f>VLOOKUP("Startup",Data!$A:$Q,7,FALSE)</f>
        <v>RED</v>
      </c>
      <c r="O27" s="1514" t="e">
        <f>VLOOKUP("Concur 1",#REF!,2,FALSE)</f>
        <v>#REF!</v>
      </c>
      <c r="P27" s="1301">
        <f>VLOOKUP("Concur 1",Data!$A:$Q,7,FALSE)</f>
        <v>1</v>
      </c>
      <c r="Q27" s="1301">
        <f>VLOOKUP("Concur 2",Data!$A:$Q,7,FALSE)</f>
        <v>2</v>
      </c>
      <c r="R27" s="1301">
        <f>VLOOKUP("Concur 3",Data!$A:$Q,7,FALSE)</f>
        <v>0</v>
      </c>
      <c r="S27" s="1301">
        <f>VLOOKUP("Concur 4",Data!$A:$Q,7,FALSE)</f>
        <v>0</v>
      </c>
      <c r="T27" s="619"/>
      <c r="U27" s="620"/>
      <c r="V27" s="1300"/>
      <c r="W27" s="156"/>
      <c r="X27" s="212"/>
      <c r="Y27" s="201">
        <v>1</v>
      </c>
      <c r="Z27" s="216">
        <v>2</v>
      </c>
      <c r="AA27" s="216">
        <v>3</v>
      </c>
      <c r="AB27" s="216">
        <v>4</v>
      </c>
      <c r="AC27" s="216">
        <v>5</v>
      </c>
      <c r="AD27" s="216">
        <v>6</v>
      </c>
      <c r="AE27" s="216">
        <v>7</v>
      </c>
      <c r="AF27" s="660">
        <v>8</v>
      </c>
      <c r="AG27" s="1536">
        <v>10</v>
      </c>
      <c r="AH27" s="333">
        <v>1</v>
      </c>
      <c r="AI27" s="1326">
        <f>VLOOKUP("Ring P1",Data!$A$2291:$E$2291,2,FALSE)</f>
        <v>1</v>
      </c>
      <c r="AJ27" s="1326">
        <f>VLOOKUP("Ring P2",Data!$A$2292:$E$2292,2,FALSE)</f>
        <v>2</v>
      </c>
      <c r="AK27" s="1326">
        <f>VLOOKUP("Ring P3",Data!$A$2293:$E$2293,2,FALSE)</f>
        <v>4</v>
      </c>
      <c r="AL27" s="1326">
        <f>VLOOKUP("Ring P4",Data!$A$2294:$E$2294,2,FALSE)</f>
        <v>3</v>
      </c>
      <c r="AM27" s="1326">
        <f>VLOOKUP("Ring P5",Data!$A$2295:$E$2295,2,FALSE)</f>
        <v>0</v>
      </c>
      <c r="AN27" s="1327">
        <f>VLOOKUP("Ring P6",Data!$A$2296:$E$2296,2,FALSE)</f>
        <v>0</v>
      </c>
      <c r="AO27" s="23"/>
      <c r="AP27" s="20"/>
      <c r="AQ27" s="17"/>
      <c r="AR27" s="17"/>
      <c r="AS27" s="17"/>
      <c r="AT27"/>
      <c r="AU27"/>
      <c r="AV27"/>
      <c r="AW27"/>
      <c r="AX27"/>
      <c r="AY27"/>
      <c r="AZ27"/>
      <c r="BA27"/>
      <c r="BB27"/>
      <c r="BC27"/>
      <c r="BD27" s="10"/>
      <c r="BE27" s="10"/>
      <c r="BF27" s="10"/>
      <c r="BG27" s="10"/>
      <c r="BH27" s="10"/>
    </row>
    <row r="28" spans="1:60" ht="12" customHeight="1" thickTop="1">
      <c r="A28" s="300" t="s">
        <v>173</v>
      </c>
      <c r="B28" s="586" t="str">
        <f>IF(VLOOKUP("Lock Call",Data!$A$1523:$K$1569,2,FALSE)= "On", "X", " ")</f>
        <v xml:space="preserve"> </v>
      </c>
      <c r="C28" s="582" t="str">
        <f>IF(VLOOKUP("Lock Call",Data!$A$1523:$K$1569,3,FALSE)= "On", "X", " ")</f>
        <v xml:space="preserve"> </v>
      </c>
      <c r="D28" s="586" t="str">
        <f>IF(VLOOKUP("Lock Call",Data!$A$1523:$K$1569,4,FALSE)= "On", "X", " ")</f>
        <v xml:space="preserve"> </v>
      </c>
      <c r="E28" s="582" t="str">
        <f>IF(VLOOKUP("Lock Call",Data!$A$1523:$K$1569,5,FALSE)= "On", "X", " ")</f>
        <v xml:space="preserve"> </v>
      </c>
      <c r="F28" s="586" t="str">
        <f>IF(VLOOKUP("Lock Call",Data!$A$1523:$K$1569,6,FALSE)= "On", "X", " ")</f>
        <v xml:space="preserve"> </v>
      </c>
      <c r="G28" s="582" t="str">
        <f>IF(VLOOKUP("Lock Call",Data!$A$1523:$K$1569,7,FALSE)= "On", "X", " ")</f>
        <v xml:space="preserve"> </v>
      </c>
      <c r="H28" s="586" t="str">
        <f>IF(VLOOKUP("Lock Call",Data!$A$1523:$K$1569,8,FALSE)= "On", "X", " ")</f>
        <v xml:space="preserve"> </v>
      </c>
      <c r="I28" s="582" t="str">
        <f>IF(VLOOKUP("Lock Call",Data!$A$1523:$K$1569,9,FALSE)= "On", "X", " ")</f>
        <v xml:space="preserve"> </v>
      </c>
      <c r="J28" s="586" t="str">
        <f>IF(VLOOKUP("Lock Call",Data!$A$1523:$K$1569,10,FALSE)= "On", "X", " ")</f>
        <v xml:space="preserve"> </v>
      </c>
      <c r="K28" s="582" t="str">
        <f>IF(VLOOKUP("Lock Call",Data!$A$1523:$K$1569,11,FALSE)= "On", "X", " ")</f>
        <v xml:space="preserve"> </v>
      </c>
      <c r="L28" s="505">
        <v>7</v>
      </c>
      <c r="M28" s="233">
        <f>VLOOKUP("Ring",Data!$A:$Q,8,FALSE)</f>
        <v>2</v>
      </c>
      <c r="N28" s="1514" t="str">
        <f>VLOOKUP("Startup",Data!$A:$Q,8,FALSE)</f>
        <v>RED</v>
      </c>
      <c r="O28" s="1514" t="e">
        <f>VLOOKUP("Concur 1",#REF!,2,FALSE)</f>
        <v>#REF!</v>
      </c>
      <c r="P28" s="1301">
        <f>VLOOKUP("Concur 1",Data!$A:$Q,8,FALSE)</f>
        <v>3</v>
      </c>
      <c r="Q28" s="1301">
        <f>VLOOKUP("Concur 2",Data!$A:$Q,8,FALSE)</f>
        <v>4</v>
      </c>
      <c r="R28" s="1301">
        <f>VLOOKUP("Concur 3",Data!$A:$Q,8,FALSE)</f>
        <v>0</v>
      </c>
      <c r="S28" s="1301">
        <f>VLOOKUP("Concur 4",Data!$A:$Q,8,FALSE)</f>
        <v>0</v>
      </c>
      <c r="T28" s="619"/>
      <c r="U28" s="620"/>
      <c r="V28" s="1300"/>
      <c r="W28" s="1658" t="s">
        <v>752</v>
      </c>
      <c r="X28" s="1659"/>
      <c r="Y28" s="638">
        <f>VLOOKUP("Walk2",Data!$A:$I,2,FALSE)</f>
        <v>0</v>
      </c>
      <c r="Z28" s="639">
        <f>VLOOKUP("Walk2",Data!$A:$I,3,FALSE)</f>
        <v>0</v>
      </c>
      <c r="AA28" s="639">
        <f>VLOOKUP("Walk2",Data!$A:$I,4,FALSE)</f>
        <v>0</v>
      </c>
      <c r="AB28" s="639">
        <f>VLOOKUP("Walk2",Data!$A:$I,5,FALSE)</f>
        <v>0</v>
      </c>
      <c r="AC28" s="639">
        <f>VLOOKUP("Walk2",Data!$A:$I,6,FALSE)</f>
        <v>0</v>
      </c>
      <c r="AD28" s="639">
        <f>VLOOKUP("Walk2",Data!$A:$I,7,FALSE)</f>
        <v>0</v>
      </c>
      <c r="AE28" s="639">
        <f>VLOOKUP("Walk2",Data!$A:$I,8,FALSE)</f>
        <v>0</v>
      </c>
      <c r="AF28" s="661">
        <f>VLOOKUP("Walk2",Data!$A:$I,9,FALSE)</f>
        <v>0</v>
      </c>
      <c r="AG28" s="1536"/>
      <c r="AH28" s="334">
        <v>2</v>
      </c>
      <c r="AI28" s="1326">
        <f>VLOOKUP("Ring P1",Data!$A$2291:$E$2291,3,FALSE)</f>
        <v>6</v>
      </c>
      <c r="AJ28" s="1326">
        <f>VLOOKUP("Ring P2",Data!$A$2292:$E$2292,3,FALSE)</f>
        <v>5</v>
      </c>
      <c r="AK28" s="1326">
        <f>VLOOKUP("Ring P3",Data!$A$2293:$E$2293,3,FALSE)</f>
        <v>7</v>
      </c>
      <c r="AL28" s="1326">
        <f>VLOOKUP("Ring P4",Data!$A$2294:$E$2294,3,FALSE)</f>
        <v>8</v>
      </c>
      <c r="AM28" s="1326">
        <f>VLOOKUP("Ring P5",Data!$A$2295:$E$2295,3,FALSE)</f>
        <v>0</v>
      </c>
      <c r="AN28" s="1327">
        <f>VLOOKUP("Ring P6",Data!$A$2296:$E$2296,3,FALSE)</f>
        <v>0</v>
      </c>
      <c r="AO28" s="23"/>
      <c r="AP28" s="17"/>
      <c r="AQ28" s="17"/>
      <c r="AR28" s="17"/>
      <c r="AS28" s="17"/>
      <c r="AT28"/>
      <c r="AU28"/>
      <c r="AV28"/>
      <c r="AW28"/>
      <c r="AX28"/>
      <c r="AY28"/>
      <c r="AZ28"/>
      <c r="BA28"/>
      <c r="BB28"/>
      <c r="BC28"/>
      <c r="BD28" s="10"/>
      <c r="BE28" s="10"/>
      <c r="BF28" s="10"/>
      <c r="BG28" s="10"/>
      <c r="BH28" s="10"/>
    </row>
    <row r="29" spans="1:60" ht="12" customHeight="1">
      <c r="A29" s="300" t="s">
        <v>176</v>
      </c>
      <c r="B29" s="586" t="str">
        <f>IF(VLOOKUP("Auto Flash Entry",Data!$A$1523:$K$1569,2,FALSE)= "On", "X", " ")</f>
        <v xml:space="preserve"> </v>
      </c>
      <c r="C29" s="582" t="str">
        <f>IF(VLOOKUP("Auto Flash Entry",Data!$A$1523:$K$1569,3,FALSE)= "On", "X", " ")</f>
        <v xml:space="preserve"> </v>
      </c>
      <c r="D29" s="586" t="str">
        <f>IF(VLOOKUP("Auto Flash Entry",Data!$A$1523:$K$1569,4,FALSE)= "On", "X", " ")</f>
        <v xml:space="preserve"> </v>
      </c>
      <c r="E29" s="582" t="str">
        <f>IF(VLOOKUP("Auto Flash Entry",Data!$A$1523:$K$1569,5,FALSE)= "On", "X", " ")</f>
        <v xml:space="preserve"> </v>
      </c>
      <c r="F29" s="586" t="str">
        <f>IF(VLOOKUP("Auto Flash Entry",Data!$A$1523:$K$1569,6,FALSE)= "On", "X", " ")</f>
        <v xml:space="preserve"> </v>
      </c>
      <c r="G29" s="582" t="str">
        <f>IF(VLOOKUP("Auto Flash Entry",Data!$A$1523:$K$1569,7,FALSE)= "On", "X", " ")</f>
        <v xml:space="preserve"> </v>
      </c>
      <c r="H29" s="586" t="str">
        <f>IF(VLOOKUP("Auto Flash Entry",Data!$A$1523:$K$1569,8,FALSE)= "On", "X", " ")</f>
        <v xml:space="preserve"> </v>
      </c>
      <c r="I29" s="582" t="str">
        <f>IF(VLOOKUP("Auto Flash Entry",Data!$A$1523:$K$1569,9,FALSE)= "On", "X", " ")</f>
        <v xml:space="preserve"> </v>
      </c>
      <c r="J29" s="586" t="str">
        <f>IF(VLOOKUP("Auto Flash Entry",Data!$A$1523:$K$1569,10,FALSE)= "On", "X", " ")</f>
        <v xml:space="preserve"> </v>
      </c>
      <c r="K29" s="582" t="str">
        <f>IF(VLOOKUP("Auto Flash Entry",Data!$A$1523:$K$1569,11,FALSE)= "On", "X", " ")</f>
        <v xml:space="preserve"> </v>
      </c>
      <c r="L29" s="505">
        <v>8</v>
      </c>
      <c r="M29" s="233">
        <f>VLOOKUP("Ring",Data!$A:$Q,9,FALSE)</f>
        <v>2</v>
      </c>
      <c r="N29" s="1514" t="str">
        <f>VLOOKUP("Startup",Data!$A:$Q,9,FALSE)</f>
        <v>GREEN</v>
      </c>
      <c r="O29" s="1514" t="e">
        <f>VLOOKUP("Concur 1",#REF!,2,FALSE)</f>
        <v>#REF!</v>
      </c>
      <c r="P29" s="1301">
        <f>VLOOKUP("Concur 1",Data!$A:$Q,9,FALSE)</f>
        <v>3</v>
      </c>
      <c r="Q29" s="1301">
        <f>VLOOKUP("Concur 2",Data!$A:$Q,9,FALSE)</f>
        <v>4</v>
      </c>
      <c r="R29" s="1301">
        <f>VLOOKUP("Concur 3",Data!$A:$Q,9,FALSE)</f>
        <v>0</v>
      </c>
      <c r="S29" s="1301">
        <f>VLOOKUP("Concur 4",Data!$A:$Q,9,FALSE)</f>
        <v>0</v>
      </c>
      <c r="T29" s="619"/>
      <c r="U29" s="620"/>
      <c r="V29" s="1300"/>
      <c r="W29" s="1658" t="s">
        <v>186</v>
      </c>
      <c r="X29" s="1659"/>
      <c r="Y29" s="631">
        <f>VLOOKUP("Bike Clear",Data!$A:$I,2,FALSE)</f>
        <v>0</v>
      </c>
      <c r="Z29" s="632">
        <f>VLOOKUP("Bike Clear",Data!$A:$I,3,FALSE)</f>
        <v>0</v>
      </c>
      <c r="AA29" s="632">
        <f>VLOOKUP("Bike Clear",Data!$A:$I,4,FALSE)</f>
        <v>0</v>
      </c>
      <c r="AB29" s="632">
        <f>VLOOKUP("Bike Clear",Data!$A:$I,5,FALSE)</f>
        <v>0</v>
      </c>
      <c r="AC29" s="632">
        <f>VLOOKUP("Bike Clear",Data!$A:$I,6,FALSE)</f>
        <v>0</v>
      </c>
      <c r="AD29" s="632">
        <f>VLOOKUP("Bike Clear",Data!$A:$I,7,FALSE)</f>
        <v>0</v>
      </c>
      <c r="AE29" s="632">
        <f>VLOOKUP("Bike Clear",Data!$A:$I,8,FALSE)</f>
        <v>0</v>
      </c>
      <c r="AF29" s="662">
        <f>VLOOKUP("Bike Clear",Data!$A:$I,9,FALSE)</f>
        <v>0</v>
      </c>
      <c r="AG29" s="1537">
        <v>11</v>
      </c>
      <c r="AH29" s="445">
        <v>1</v>
      </c>
      <c r="AI29" s="1328">
        <f>VLOOKUP("Ring P1",Data!$A$2302:$E$2302,2,FALSE)</f>
        <v>2</v>
      </c>
      <c r="AJ29" s="1328">
        <f>VLOOKUP("Ring P2",Data!$A$2303:$E$2303,2,FALSE)</f>
        <v>1</v>
      </c>
      <c r="AK29" s="1328">
        <f>VLOOKUP("Ring P3",Data!$A$2304:$E$2304,2,FALSE)</f>
        <v>4</v>
      </c>
      <c r="AL29" s="1328">
        <f>VLOOKUP("Ring P4",Data!$A$2305:$E$2305,2,FALSE)</f>
        <v>3</v>
      </c>
      <c r="AM29" s="1328">
        <f>VLOOKUP("Ring P5",Data!$A$2306:$E$2306,2,FALSE)</f>
        <v>0</v>
      </c>
      <c r="AN29" s="1329">
        <f>VLOOKUP("Ring P6",Data!$A$2307:$E$2307,2,FALSE)</f>
        <v>0</v>
      </c>
      <c r="AO29" s="22"/>
      <c r="AP29" s="20"/>
      <c r="AQ29" s="17"/>
      <c r="AR29" s="17"/>
      <c r="AS29" s="17"/>
      <c r="AT29"/>
      <c r="AU29"/>
      <c r="AV29"/>
      <c r="AW29"/>
      <c r="AX29"/>
      <c r="AY29"/>
      <c r="AZ29"/>
      <c r="BA29"/>
      <c r="BB29"/>
      <c r="BC29"/>
      <c r="BD29" s="10"/>
      <c r="BE29" s="10"/>
      <c r="BF29" s="10"/>
      <c r="BG29" s="10"/>
      <c r="BH29" s="10"/>
    </row>
    <row r="30" spans="1:60" ht="12" customHeight="1">
      <c r="A30" s="300" t="s">
        <v>178</v>
      </c>
      <c r="B30" s="586" t="str">
        <f>IF(VLOOKUP("Auto Flash Exit",Data!$A$1523:$K$1569,2,FALSE)= "On", "X", " ")</f>
        <v xml:space="preserve"> </v>
      </c>
      <c r="C30" s="582" t="str">
        <f>IF(VLOOKUP("Auto Flash Exit",Data!$A$1523:$K$1569,3,FALSE)= "On", "X", " ")</f>
        <v xml:space="preserve"> </v>
      </c>
      <c r="D30" s="586" t="str">
        <f>IF(VLOOKUP("Auto Flash Exit",Data!$A$1523:$K$1569,4,FALSE)= "On", "X", " ")</f>
        <v xml:space="preserve"> </v>
      </c>
      <c r="E30" s="582" t="str">
        <f>IF(VLOOKUP("Auto Flash Exit",Data!$A$1523:$K$1569,5,FALSE)= "On", "X", " ")</f>
        <v xml:space="preserve"> </v>
      </c>
      <c r="F30" s="586" t="str">
        <f>IF(VLOOKUP("Auto Flash Exit",Data!$A$1523:$K$1569,6,FALSE)= "On", "X", " ")</f>
        <v xml:space="preserve"> </v>
      </c>
      <c r="G30" s="582" t="str">
        <f>IF(VLOOKUP("Auto Flash Exit",Data!$A$1523:$K$1569,7,FALSE)= "On", "X", " ")</f>
        <v xml:space="preserve"> </v>
      </c>
      <c r="H30" s="586" t="str">
        <f>IF(VLOOKUP("Auto Flash Exit",Data!$A$1523:$K$1569,8,FALSE)= "On", "X", " ")</f>
        <v xml:space="preserve"> </v>
      </c>
      <c r="I30" s="582" t="str">
        <f>IF(VLOOKUP("Auto Flash Exit",Data!$A$1523:$K$1569,9,FALSE)= "On", "X", " ")</f>
        <v xml:space="preserve"> </v>
      </c>
      <c r="J30" s="586" t="str">
        <f>IF(VLOOKUP("Auto Flash Exit",Data!$A$1523:$K$1569,10,FALSE)= "On", "X", " ")</f>
        <v xml:space="preserve"> </v>
      </c>
      <c r="K30" s="582" t="str">
        <f>IF(VLOOKUP("Auto Flash Exit",Data!$A$1523:$K$1569,11,FALSE)= "On", "X", " ")</f>
        <v xml:space="preserve"> </v>
      </c>
      <c r="L30" s="506">
        <v>9</v>
      </c>
      <c r="M30" s="453">
        <f>VLOOKUP("Ring",Data!$A:$Q,10,FALSE)</f>
        <v>0</v>
      </c>
      <c r="N30" s="1524" t="str">
        <f>VLOOKUP("Startup",Data!$A:$Q,10,FALSE)</f>
        <v>RED</v>
      </c>
      <c r="O30" s="1524" t="e">
        <f>VLOOKUP("Concur 1",#REF!,2,FALSE)</f>
        <v>#REF!</v>
      </c>
      <c r="P30" s="621">
        <f>VLOOKUP("Concur 1",Data!$A:$Q,10,FALSE)</f>
        <v>0</v>
      </c>
      <c r="Q30" s="621">
        <f>VLOOKUP("Concur 2",Data!$A:$Q,10,FALSE)</f>
        <v>0</v>
      </c>
      <c r="R30" s="621">
        <f>VLOOKUP("Concur 3",Data!$A:$Q,10,FALSE)</f>
        <v>0</v>
      </c>
      <c r="S30" s="621">
        <f>VLOOKUP("Concur 4",Data!$A:$Q,10,FALSE)</f>
        <v>0</v>
      </c>
      <c r="T30" s="622"/>
      <c r="U30" s="623"/>
      <c r="V30" s="624"/>
      <c r="W30" s="1658" t="s">
        <v>753</v>
      </c>
      <c r="X30" s="1659"/>
      <c r="Y30" s="640">
        <f>VLOOKUP("Green Flash",Data!$A:$I,2,FALSE)</f>
        <v>0</v>
      </c>
      <c r="Z30" s="641">
        <f>VLOOKUP("Green Flash",Data!$A:$I,3,FALSE)</f>
        <v>0</v>
      </c>
      <c r="AA30" s="641">
        <f>VLOOKUP("Green Flash",Data!$A:$I,4,FALSE)</f>
        <v>0</v>
      </c>
      <c r="AB30" s="641">
        <f>VLOOKUP("Green Flash",Data!$A:$I,5,FALSE)</f>
        <v>0</v>
      </c>
      <c r="AC30" s="641">
        <f>VLOOKUP("Green Flash",Data!$A:$I,6,FALSE)</f>
        <v>0</v>
      </c>
      <c r="AD30" s="641">
        <f>VLOOKUP("Green Flash",Data!$A:$I,7,FALSE)</f>
        <v>0</v>
      </c>
      <c r="AE30" s="641">
        <f>VLOOKUP("Green Flash",Data!$A:$I,8,FALSE)</f>
        <v>0</v>
      </c>
      <c r="AF30" s="663">
        <f>VLOOKUP("Green Flash",Data!$A:$I,9,FALSE)</f>
        <v>0</v>
      </c>
      <c r="AG30" s="1537"/>
      <c r="AH30" s="444">
        <v>2</v>
      </c>
      <c r="AI30" s="1328">
        <f>VLOOKUP("Ring P1",Data!$A$2302:$E$2302,3,FALSE)</f>
        <v>5</v>
      </c>
      <c r="AJ30" s="1328">
        <f>VLOOKUP("Ring P2",Data!$A$2303:$E$2303,3,FALSE)</f>
        <v>6</v>
      </c>
      <c r="AK30" s="1328">
        <f>VLOOKUP("Ring P3",Data!$A$2304:$E$2304,3,FALSE)</f>
        <v>7</v>
      </c>
      <c r="AL30" s="1328">
        <f>VLOOKUP("Ring P4",Data!$A$2305:$E$2305,3,FALSE)</f>
        <v>8</v>
      </c>
      <c r="AM30" s="1328">
        <f>VLOOKUP("Ring P5",Data!$A$2306:$E$2306,3,FALSE)</f>
        <v>0</v>
      </c>
      <c r="AN30" s="1329">
        <f>VLOOKUP("Ring P6",Data!$A$2307:$E$2307,3,FALSE)</f>
        <v>0</v>
      </c>
      <c r="AO30" s="22"/>
      <c r="AP30" s="17"/>
      <c r="AQ30" s="17"/>
      <c r="AR30" s="17"/>
      <c r="AS30" s="17"/>
      <c r="AT30"/>
      <c r="AU30"/>
      <c r="AV30"/>
      <c r="AW30"/>
      <c r="AX30"/>
      <c r="AY30"/>
      <c r="AZ30"/>
      <c r="BA30"/>
      <c r="BB30"/>
      <c r="BC30"/>
      <c r="BD30" s="10"/>
      <c r="BE30" s="10"/>
      <c r="BF30" s="10"/>
      <c r="BG30" s="10"/>
      <c r="BH30" s="10"/>
    </row>
    <row r="31" spans="1:60" ht="12" customHeight="1">
      <c r="A31" s="300" t="s">
        <v>47</v>
      </c>
      <c r="B31" s="586" t="str">
        <f>IF(VLOOKUP("Dual Entry",Data!$A$1523:$K$1569,2,FALSE)= "On", "X", " ")</f>
        <v xml:space="preserve"> </v>
      </c>
      <c r="C31" s="582" t="s">
        <v>34</v>
      </c>
      <c r="D31" s="586" t="str">
        <f>IF(VLOOKUP("Dual Entry",Data!$A$1523:$K$1569,4,FALSE)= "On", "X", " ")</f>
        <v xml:space="preserve"> </v>
      </c>
      <c r="E31" s="582" t="s">
        <v>34</v>
      </c>
      <c r="F31" s="586" t="str">
        <f>IF(VLOOKUP("Dual Entry",Data!$A$1523:$K$1569,6,FALSE)= "On", "X", " ")</f>
        <v xml:space="preserve"> </v>
      </c>
      <c r="G31" s="582" t="s">
        <v>34</v>
      </c>
      <c r="H31" s="586" t="str">
        <f>IF(VLOOKUP("Dual Entry",Data!$A$1523:$K$1569,8,FALSE)= "On", "X", " ")</f>
        <v xml:space="preserve"> </v>
      </c>
      <c r="I31" s="582" t="s">
        <v>34</v>
      </c>
      <c r="J31" s="586" t="str">
        <f>IF(VLOOKUP("Dual Entry",Data!$A$1523:$K$1569,10,FALSE)= "On", "X", " ")</f>
        <v xml:space="preserve"> </v>
      </c>
      <c r="K31" s="582" t="str">
        <f>IF(VLOOKUP("Dual Entry",Data!$A$1523:$K$1569,11,FALSE)= "On", "X", " ")</f>
        <v xml:space="preserve"> </v>
      </c>
      <c r="L31" s="506">
        <v>10</v>
      </c>
      <c r="M31" s="453">
        <f>VLOOKUP("Ring",Data!$A:$Q,11,FALSE)</f>
        <v>0</v>
      </c>
      <c r="N31" s="1524" t="str">
        <f>VLOOKUP("Startup",Data!$A:$Q,11,FALSE)</f>
        <v>RED</v>
      </c>
      <c r="O31" s="1524" t="e">
        <f>VLOOKUP("Concur 1",#REF!,2,FALSE)</f>
        <v>#REF!</v>
      </c>
      <c r="P31" s="621">
        <f>VLOOKUP("Concur 1",Data!$A:$Q,11,FALSE)</f>
        <v>0</v>
      </c>
      <c r="Q31" s="621">
        <f>VLOOKUP("Concur 2",Data!$A:$Q,11,FALSE)</f>
        <v>0</v>
      </c>
      <c r="R31" s="621">
        <f>VLOOKUP("Concur 3",Data!$A:$Q,11,FALSE)</f>
        <v>0</v>
      </c>
      <c r="S31" s="621">
        <f>VLOOKUP("Concur 4",Data!$A:$Q,11,FALSE)</f>
        <v>0</v>
      </c>
      <c r="T31" s="622"/>
      <c r="U31" s="623"/>
      <c r="V31" s="624"/>
      <c r="W31" s="1658" t="s">
        <v>754</v>
      </c>
      <c r="X31" s="1659"/>
      <c r="Y31" s="633">
        <f>VLOOKUP("Safe Clear Min",Data!$A:$I,2,FALSE)</f>
        <v>0</v>
      </c>
      <c r="Z31" s="634">
        <f>VLOOKUP("Safe Clear Min",Data!$A:$I,3,FALSE)</f>
        <v>0</v>
      </c>
      <c r="AA31" s="634">
        <f>VLOOKUP("Safe Clear Min",Data!$A:$I,4,FALSE)</f>
        <v>0</v>
      </c>
      <c r="AB31" s="634">
        <f>VLOOKUP("Safe Clear Min",Data!$A:$I,5,FALSE)</f>
        <v>0</v>
      </c>
      <c r="AC31" s="634">
        <f>VLOOKUP("Safe Clear Min",Data!$A:$I,6,FALSE)</f>
        <v>0</v>
      </c>
      <c r="AD31" s="634">
        <f>VLOOKUP("Safe Clear Min",Data!$A:$I,7,FALSE)</f>
        <v>0</v>
      </c>
      <c r="AE31" s="634">
        <f>VLOOKUP("Safe Clear Min",Data!$A:$I,8,FALSE)</f>
        <v>0</v>
      </c>
      <c r="AF31" s="664">
        <f>VLOOKUP("Safe Clear Min",Data!$A:$I,9,FALSE)</f>
        <v>0</v>
      </c>
      <c r="AG31" s="1536">
        <v>12</v>
      </c>
      <c r="AH31" s="333">
        <v>1</v>
      </c>
      <c r="AI31" s="658">
        <f>VLOOKUP("Ring P1",Data!$A$2313:$E$2313,2,FALSE)</f>
        <v>2</v>
      </c>
      <c r="AJ31" s="658">
        <f>VLOOKUP("Ring P2",Data!$A$2314:$E$2314,2,FALSE)</f>
        <v>1</v>
      </c>
      <c r="AK31" s="658">
        <f>VLOOKUP("Ring P3",Data!$A$2315:$E$2315,2,FALSE)</f>
        <v>4</v>
      </c>
      <c r="AL31" s="658">
        <f>VLOOKUP("Ring P4",Data!$A$2316:$E$2316,2,FALSE)</f>
        <v>3</v>
      </c>
      <c r="AM31" s="658">
        <f>VLOOKUP("Ring P5",Data!$A$2317:$E$2317,2,FALSE)</f>
        <v>0</v>
      </c>
      <c r="AN31" s="659">
        <f>VLOOKUP("Ring P6",Data!$A$2318:$E$2318,2,FALSE)</f>
        <v>0</v>
      </c>
      <c r="AO31" s="23"/>
      <c r="AP31" s="20"/>
      <c r="AQ31" s="17"/>
      <c r="AR31" s="17"/>
      <c r="AS31" s="17"/>
      <c r="AT31"/>
      <c r="AU31" s="519"/>
      <c r="AV31"/>
      <c r="AW31"/>
      <c r="AX31"/>
      <c r="AY31"/>
      <c r="AZ31"/>
      <c r="BA31"/>
      <c r="BB31"/>
      <c r="BC31"/>
      <c r="BD31" s="10"/>
      <c r="BE31" s="10"/>
      <c r="BF31" s="10"/>
      <c r="BG31" s="10"/>
      <c r="BH31" s="10"/>
    </row>
    <row r="32" spans="1:60" ht="12" customHeight="1">
      <c r="A32" s="300" t="s">
        <v>181</v>
      </c>
      <c r="B32" s="586" t="str">
        <f>IF(VLOOKUP("Sim Gap Enable",Data!$A$1523:$K$1569,2,FALSE)= "On", "X", " ")</f>
        <v xml:space="preserve"> </v>
      </c>
      <c r="C32" s="582" t="str">
        <f>IF(VLOOKUP("Sim Gap Enable",Data!$A$1523:$K$1569,3,FALSE)= "On", "X", " ")</f>
        <v xml:space="preserve"> </v>
      </c>
      <c r="D32" s="586" t="str">
        <f>IF(VLOOKUP("Sim Gap Enable",Data!$A$1523:$K$1569,4,FALSE)= "On", "X", " ")</f>
        <v xml:space="preserve"> </v>
      </c>
      <c r="E32" s="582" t="str">
        <f>IF(VLOOKUP("Sim Gap Enable",Data!$A$1523:$K$1569,5,FALSE)= "On", "X", " ")</f>
        <v xml:space="preserve"> </v>
      </c>
      <c r="F32" s="586" t="str">
        <f>IF(VLOOKUP("Sim Gap Enable",Data!$A$1523:$K$1569,6,FALSE)= "On", "X", " ")</f>
        <v xml:space="preserve"> </v>
      </c>
      <c r="G32" s="582" t="str">
        <f>IF(VLOOKUP("Sim Gap Enable",Data!$A$1523:$K$1569,7,FALSE)= "On", "X", " ")</f>
        <v xml:space="preserve"> </v>
      </c>
      <c r="H32" s="586" t="str">
        <f>IF(VLOOKUP("Sim Gap Enable",Data!$A$1523:$K$1569,8,FALSE)= "On", "X", " ")</f>
        <v xml:space="preserve"> </v>
      </c>
      <c r="I32" s="582" t="str">
        <f>IF(VLOOKUP("Sim Gap Enable",Data!$A$1523:$K$1569,9,FALSE)= "On", "X", " ")</f>
        <v xml:space="preserve"> </v>
      </c>
      <c r="J32" s="586" t="str">
        <f>IF(VLOOKUP("Sim Gap Enable",Data!$A$1523:$K$1569,10,FALSE)= "On", "X", " ")</f>
        <v xml:space="preserve"> </v>
      </c>
      <c r="K32" s="582" t="str">
        <f>IF(VLOOKUP("Sim Gap Enable",Data!$A$1523:$K$1569,11,FALSE)= "On", "X", " ")</f>
        <v xml:space="preserve"> </v>
      </c>
      <c r="L32" s="506">
        <v>11</v>
      </c>
      <c r="M32" s="453">
        <f>VLOOKUP("Ring",Data!$A:$Q,12,FALSE)</f>
        <v>0</v>
      </c>
      <c r="N32" s="1524" t="str">
        <f>VLOOKUP("Startup",Data!$A:$Q,12,FALSE)</f>
        <v>RED</v>
      </c>
      <c r="O32" s="1524" t="e">
        <f>VLOOKUP("Concur 1",#REF!,2,FALSE)</f>
        <v>#REF!</v>
      </c>
      <c r="P32" s="621">
        <f>VLOOKUP("Concur 1",Data!$A:$Q,12,FALSE)</f>
        <v>0</v>
      </c>
      <c r="Q32" s="621">
        <f>VLOOKUP("Concur 2",Data!$A:$Q,12,FALSE)</f>
        <v>0</v>
      </c>
      <c r="R32" s="621">
        <f>VLOOKUP("Concur 3",Data!$A:$Q,12,FALSE)</f>
        <v>0</v>
      </c>
      <c r="S32" s="621">
        <f>VLOOKUP("Concur 4",Data!$A:$Q,12,FALSE)</f>
        <v>0</v>
      </c>
      <c r="T32" s="622"/>
      <c r="U32" s="623"/>
      <c r="V32" s="624"/>
      <c r="W32" s="1621" t="s">
        <v>755</v>
      </c>
      <c r="X32" s="1622"/>
      <c r="Y32" s="642" t="str">
        <f>VLOOKUP("Safe Clear No Flash",Data!$A:$I,2,FALSE)</f>
        <v>OFF</v>
      </c>
      <c r="Z32" s="643" t="str">
        <f>VLOOKUP("Safe Clear No Flash",Data!$A:$I,3,FALSE)</f>
        <v>OFF</v>
      </c>
      <c r="AA32" s="643" t="str">
        <f>VLOOKUP("Safe Clear No Flash",Data!$A:$I,4,FALSE)</f>
        <v>OFF</v>
      </c>
      <c r="AB32" s="643" t="str">
        <f>VLOOKUP("Safe Clear No Flash",Data!$A:$I,5,FALSE)</f>
        <v>OFF</v>
      </c>
      <c r="AC32" s="644" t="str">
        <f>VLOOKUP("Safe Clear No Flash",Data!$A:$I,6,FALSE)</f>
        <v>OFF</v>
      </c>
      <c r="AD32" s="645" t="str">
        <f>VLOOKUP("Safe Clear No Flash",Data!$A:$I,7,FALSE)</f>
        <v>OFF</v>
      </c>
      <c r="AE32" s="644" t="str">
        <f>VLOOKUP("Safe Clear No Flash",Data!$A:$I,8,FALSE)</f>
        <v>OFF</v>
      </c>
      <c r="AF32" s="642" t="str">
        <f>VLOOKUP("Safe Clear No Flash",Data!$A:$I,9,FALSE)</f>
        <v>OFF</v>
      </c>
      <c r="AG32" s="1536"/>
      <c r="AH32" s="334">
        <v>2</v>
      </c>
      <c r="AI32" s="658">
        <f>VLOOKUP("Ring P1",Data!$A$2313:$E$2313,3,FALSE)</f>
        <v>6</v>
      </c>
      <c r="AJ32" s="658">
        <f>VLOOKUP("Ring P2",Data!$A$2314:$E$2314,3,FALSE)</f>
        <v>5</v>
      </c>
      <c r="AK32" s="658">
        <f>VLOOKUP("Ring P3",Data!$A$2315:$E$2315,3,FALSE)</f>
        <v>7</v>
      </c>
      <c r="AL32" s="658">
        <f>VLOOKUP("Ring P4",Data!$A$2316:$E$2316,3,FALSE)</f>
        <v>8</v>
      </c>
      <c r="AM32" s="658">
        <f>VLOOKUP("Ring P5",Data!$A$2317:$E$2317,3,FALSE)</f>
        <v>0</v>
      </c>
      <c r="AN32" s="659">
        <f>VLOOKUP("Ring P6",Data!$A$2318:$E$2318,3,FALSE)</f>
        <v>0</v>
      </c>
      <c r="AO32" s="23"/>
      <c r="AP32" s="17"/>
      <c r="AQ32" s="17"/>
      <c r="AR32" s="17"/>
      <c r="AS32" s="17"/>
      <c r="AT32"/>
      <c r="AU32"/>
      <c r="AV32"/>
      <c r="AW32"/>
      <c r="AX32"/>
      <c r="AY32"/>
      <c r="AZ32"/>
      <c r="BA32"/>
      <c r="BB32"/>
      <c r="BC32"/>
      <c r="BD32" s="10"/>
      <c r="BE32" s="10"/>
      <c r="BF32" s="10"/>
      <c r="BG32" s="10"/>
      <c r="BH32" s="10"/>
    </row>
    <row r="33" spans="1:60" ht="12" customHeight="1" thickBot="1">
      <c r="A33" s="300" t="s">
        <v>183</v>
      </c>
      <c r="B33" s="586" t="str">
        <f>IF(VLOOKUP("Guar Passage",Data!$A$1523:$K$1569,2,FALSE)= "On", "X", " ")</f>
        <v xml:space="preserve"> </v>
      </c>
      <c r="C33" s="582" t="str">
        <f>IF(VLOOKUP("Guar Passage",Data!$A$1523:$K$1569,3,FALSE)= "On", "X", " ")</f>
        <v xml:space="preserve"> </v>
      </c>
      <c r="D33" s="586" t="str">
        <f>IF(VLOOKUP("Guar Passage",Data!$A$1523:$K$1569,4,FALSE)= "On", "X", " ")</f>
        <v xml:space="preserve"> </v>
      </c>
      <c r="E33" s="582" t="str">
        <f>IF(VLOOKUP("Guar Passage",Data!$A$1523:$K$1569,5,FALSE)= "On", "X", " ")</f>
        <v xml:space="preserve"> </v>
      </c>
      <c r="F33" s="586" t="str">
        <f>IF(VLOOKUP("Guar Passage",Data!$A$1523:$K$1569,6,FALSE)= "On", "X", " ")</f>
        <v xml:space="preserve"> </v>
      </c>
      <c r="G33" s="582" t="str">
        <f>IF(VLOOKUP("Guar Passage",Data!$A$1523:$K$1569,7,FALSE)= "On", "X", " ")</f>
        <v xml:space="preserve"> </v>
      </c>
      <c r="H33" s="586" t="str">
        <f>IF(VLOOKUP("Guar Passage",Data!$A$1523:$K$1569,8,FALSE)= "On", "X", " ")</f>
        <v xml:space="preserve"> </v>
      </c>
      <c r="I33" s="582" t="str">
        <f>IF(VLOOKUP("Guar Passage",Data!$A$1523:$K$1569,9,FALSE)= "On", "X", " ")</f>
        <v xml:space="preserve"> </v>
      </c>
      <c r="J33" s="586" t="str">
        <f>IF(VLOOKUP("Guar Passage",Data!$A$1523:$K$1569,10,FALSE)= "On", "X", " ")</f>
        <v xml:space="preserve"> </v>
      </c>
      <c r="K33" s="582" t="str">
        <f>IF(VLOOKUP("Guar Passage",Data!$A$1523:$K$1569,11,FALSE)= "On", "X", " ")</f>
        <v xml:space="preserve"> </v>
      </c>
      <c r="L33" s="507">
        <v>12</v>
      </c>
      <c r="M33" s="454">
        <f>VLOOKUP("Ring",Data!$A:$Q,13,FALSE)</f>
        <v>0</v>
      </c>
      <c r="N33" s="1616" t="str">
        <f>VLOOKUP("Startup",Data!$A:$Q,13,FALSE)</f>
        <v>RED</v>
      </c>
      <c r="O33" s="1616" t="e">
        <f>VLOOKUP("Concur 1",#REF!,2,FALSE)</f>
        <v>#REF!</v>
      </c>
      <c r="P33" s="625">
        <f>VLOOKUP("Concur 1",Data!$A:$Q,13,FALSE)</f>
        <v>0</v>
      </c>
      <c r="Q33" s="625">
        <f>VLOOKUP("Concur 2",Data!$A:$Q,13,FALSE)</f>
        <v>0</v>
      </c>
      <c r="R33" s="625">
        <f>VLOOKUP("Concur 3",Data!$A:$Q,13,FALSE)</f>
        <v>0</v>
      </c>
      <c r="S33" s="625">
        <f>VLOOKUP("Concur 4",Data!$A:$Q,13,FALSE)</f>
        <v>0</v>
      </c>
      <c r="T33" s="626"/>
      <c r="U33" s="627"/>
      <c r="V33" s="628"/>
      <c r="W33" s="1418" t="s">
        <v>3760</v>
      </c>
      <c r="X33" s="1419"/>
      <c r="Y33" s="635"/>
      <c r="Z33" s="636"/>
      <c r="AA33" s="636"/>
      <c r="AB33" s="636"/>
      <c r="AC33" s="636"/>
      <c r="AD33" s="637"/>
      <c r="AE33" s="637"/>
      <c r="AF33" s="635"/>
      <c r="AG33" s="1537">
        <v>13</v>
      </c>
      <c r="AH33" s="445">
        <v>1</v>
      </c>
      <c r="AI33" s="1322">
        <f>VLOOKUP("Ring P1",Data!$A$2324:$E$2324,2,FALSE)</f>
        <v>1</v>
      </c>
      <c r="AJ33" s="1322">
        <f>VLOOKUP("Ring P2",Data!$A$2325:$E$2325,2,FALSE)</f>
        <v>2</v>
      </c>
      <c r="AK33" s="1322">
        <f>VLOOKUP("Ring P3",Data!$A$2326:$E$2326,2,FALSE)</f>
        <v>4</v>
      </c>
      <c r="AL33" s="1322">
        <f>VLOOKUP("Ring P4",Data!$A$2327:$E$2327,2,FALSE)</f>
        <v>3</v>
      </c>
      <c r="AM33" s="1322">
        <f>VLOOKUP("Ring P5",Data!$A$2328:$E$2328,2,FALSE)</f>
        <v>0</v>
      </c>
      <c r="AN33" s="1323">
        <f>VLOOKUP("Ring P6",Data!$A$2329:$E$2329,2,FALSE)</f>
        <v>0</v>
      </c>
      <c r="AO33" s="22"/>
      <c r="AP33" s="20"/>
      <c r="AQ33" s="17"/>
      <c r="AR33" s="17"/>
      <c r="AS33" s="17"/>
      <c r="AT33"/>
      <c r="AU33"/>
      <c r="AV33"/>
      <c r="AW33"/>
      <c r="AX33"/>
      <c r="AY33"/>
      <c r="AZ33"/>
      <c r="BA33"/>
      <c r="BB33"/>
      <c r="BC33"/>
      <c r="BD33" s="10"/>
      <c r="BE33" s="10"/>
      <c r="BF33" s="10"/>
      <c r="BG33" s="10"/>
      <c r="BH33" s="10"/>
    </row>
    <row r="34" spans="1:60" ht="12" customHeight="1" thickBot="1">
      <c r="A34" s="300" t="s">
        <v>121</v>
      </c>
      <c r="B34" s="586" t="str">
        <f>IF(VLOOKUP("Rest In Walk",Data!$A$1523:$K$1569,2,FALSE)= "On", "X", " ")</f>
        <v xml:space="preserve"> </v>
      </c>
      <c r="C34" s="582" t="str">
        <f>IF(VLOOKUP("Rest In Walk",Data!$A$1523:$K$1569,3,FALSE)= "On", "X", " ")</f>
        <v xml:space="preserve"> </v>
      </c>
      <c r="D34" s="586" t="str">
        <f>IF(VLOOKUP("Rest In Walk",Data!$A$1523:$K$1569,4,FALSE)= "On", "X", " ")</f>
        <v xml:space="preserve"> </v>
      </c>
      <c r="E34" s="582" t="str">
        <f>IF(VLOOKUP("Rest In Walk",Data!$A$1523:$K$1569,5,FALSE)= "On", "X", " ")</f>
        <v xml:space="preserve"> </v>
      </c>
      <c r="F34" s="586" t="str">
        <f>IF(VLOOKUP("Rest In Walk",Data!$A$1523:$K$1569,6,FALSE)= "On", "X", " ")</f>
        <v xml:space="preserve"> </v>
      </c>
      <c r="G34" s="582" t="str">
        <f>IF(VLOOKUP("Rest In Walk",Data!$A$1523:$K$1569,7,FALSE)= "On", "X", " ")</f>
        <v xml:space="preserve"> </v>
      </c>
      <c r="H34" s="586" t="str">
        <f>IF(VLOOKUP("Rest In Walk",Data!$A$1523:$K$1569,8,FALSE)= "On", "X", " ")</f>
        <v xml:space="preserve"> </v>
      </c>
      <c r="I34" s="582" t="str">
        <f>IF(VLOOKUP("Rest In Walk",Data!$A$1523:$K$1569,9,FALSE)= "On", "X", " ")</f>
        <v xml:space="preserve"> </v>
      </c>
      <c r="J34" s="586" t="str">
        <f>IF(VLOOKUP("Rest In Walk",Data!$A$1523:$K$1569,10,FALSE)= "On", "X", " ")</f>
        <v xml:space="preserve"> </v>
      </c>
      <c r="K34" s="582" t="str">
        <f>IF(VLOOKUP("Rest In Walk",Data!$A$1523:$K$1569,11,FALSE)= "On", "X", " ")</f>
        <v xml:space="preserve"> </v>
      </c>
      <c r="L34" s="1668" t="s">
        <v>718</v>
      </c>
      <c r="M34" s="1669"/>
      <c r="N34" s="1669"/>
      <c r="O34" s="1669"/>
      <c r="P34" s="1669"/>
      <c r="Q34" s="1669"/>
      <c r="R34" s="1669"/>
      <c r="S34" s="1669"/>
      <c r="T34" s="1669"/>
      <c r="U34" s="1669"/>
      <c r="V34" s="1670"/>
      <c r="W34" s="1421" t="s">
        <v>194</v>
      </c>
      <c r="X34" s="1421"/>
      <c r="Y34" s="1421"/>
      <c r="Z34" s="1421"/>
      <c r="AA34" s="1422"/>
      <c r="AB34" s="1574"/>
      <c r="AC34" s="1575"/>
      <c r="AD34" s="1575"/>
      <c r="AE34" s="1575"/>
      <c r="AF34" s="1575"/>
      <c r="AG34" s="1537"/>
      <c r="AH34" s="444">
        <v>2</v>
      </c>
      <c r="AI34" s="1322">
        <f>VLOOKUP("Ring P1",Data!$A$2324:$E$2324,3,FALSE)</f>
        <v>5</v>
      </c>
      <c r="AJ34" s="1322">
        <f>VLOOKUP("Ring P2",Data!$A$2325:$E$2325,3,FALSE)</f>
        <v>6</v>
      </c>
      <c r="AK34" s="1322">
        <f>VLOOKUP("Ring P3",Data!$A$2326:$E$2326,3,FALSE)</f>
        <v>8</v>
      </c>
      <c r="AL34" s="1322">
        <f>VLOOKUP("Ring P4",Data!$A$2327:$E$2327,3,FALSE)</f>
        <v>7</v>
      </c>
      <c r="AM34" s="1322">
        <f>VLOOKUP("Ring P5",Data!$A$2328:$E$2328,3,FALSE)</f>
        <v>0</v>
      </c>
      <c r="AN34" s="1323">
        <f>VLOOKUP("Ring P6",Data!$A$2329:$E$2329,3,FALSE)</f>
        <v>0</v>
      </c>
      <c r="AO34" s="22"/>
      <c r="AP34" s="17"/>
      <c r="AQ34" s="17"/>
      <c r="AR34" s="17"/>
      <c r="AS34"/>
      <c r="AT34"/>
      <c r="AU34"/>
      <c r="AV34"/>
      <c r="AW34"/>
      <c r="AX34"/>
      <c r="AY34"/>
      <c r="AZ34"/>
      <c r="BA34"/>
      <c r="BB34"/>
      <c r="BC34"/>
      <c r="BD34" s="10"/>
      <c r="BE34" s="10"/>
      <c r="BF34" s="10"/>
      <c r="BG34" s="10"/>
      <c r="BH34" s="10"/>
    </row>
    <row r="35" spans="1:60" ht="12" customHeight="1" thickBot="1">
      <c r="A35" s="300" t="s">
        <v>3759</v>
      </c>
      <c r="B35" s="586" t="str">
        <f>IF(VLOOKUP("Cond Service",Data!$A$1523:$K$1569,2,FALSE)= "On", "X", " ")</f>
        <v xml:space="preserve"> </v>
      </c>
      <c r="C35" s="582" t="str">
        <f>IF(VLOOKUP("Cond Service",Data!$A$1523:$K$1569,3,FALSE)= "On", "X", " ")</f>
        <v xml:space="preserve"> </v>
      </c>
      <c r="D35" s="586" t="str">
        <f>IF(VLOOKUP("Cond Service",Data!$A$1523:$K$1569,4,FALSE)= "On", "X", " ")</f>
        <v xml:space="preserve"> </v>
      </c>
      <c r="E35" s="582" t="str">
        <f>IF(VLOOKUP("Cond Service",Data!$A$1523:$K$1569,5,FALSE)= "On", "X", " ")</f>
        <v xml:space="preserve"> </v>
      </c>
      <c r="F35" s="586" t="str">
        <f>IF(VLOOKUP("Cond Service",Data!$A$1523:$K$1569,6,FALSE)= "On", "X", " ")</f>
        <v xml:space="preserve"> </v>
      </c>
      <c r="G35" s="582" t="str">
        <f>IF(VLOOKUP("Cond Service",Data!$A$1523:$K$1569,7,FALSE)= "On", "X", " ")</f>
        <v xml:space="preserve"> </v>
      </c>
      <c r="H35" s="586" t="str">
        <f>IF(VLOOKUP("Cond Service",Data!$A$1523:$K$1569,8,FALSE)= "On", "X", " ")</f>
        <v xml:space="preserve"> </v>
      </c>
      <c r="I35" s="582" t="str">
        <f>IF(VLOOKUP("Cond Service",Data!$A$1523:$K$1569,9,FALSE)= "On", "X", " ")</f>
        <v xml:space="preserve"> </v>
      </c>
      <c r="J35" s="586" t="str">
        <f>IF(VLOOKUP("Cond Service",Data!$A$1523:$K$1569,10,FALSE)= "On", "X", " ")</f>
        <v xml:space="preserve"> </v>
      </c>
      <c r="K35" s="582" t="str">
        <f>IF(VLOOKUP("Cond Service",Data!$A$1523:$K$1569,11,FALSE)= "On", "X", " ")</f>
        <v xml:space="preserve"> </v>
      </c>
      <c r="L35" s="1463" t="s">
        <v>184</v>
      </c>
      <c r="M35" s="1464"/>
      <c r="N35" s="1465"/>
      <c r="O35" s="1466" t="s">
        <v>0</v>
      </c>
      <c r="P35" s="1467"/>
      <c r="Q35" s="1467" t="s">
        <v>185</v>
      </c>
      <c r="R35" s="1467"/>
      <c r="S35" s="1468" t="s">
        <v>53</v>
      </c>
      <c r="T35" s="1469"/>
      <c r="U35" s="508"/>
      <c r="V35" s="518"/>
      <c r="W35" s="509" t="s">
        <v>0</v>
      </c>
      <c r="X35" s="1478" t="s">
        <v>197</v>
      </c>
      <c r="Y35" s="1478"/>
      <c r="Z35" s="1478" t="s">
        <v>198</v>
      </c>
      <c r="AA35" s="1568"/>
      <c r="AB35" s="1576"/>
      <c r="AC35" s="1577"/>
      <c r="AD35" s="1577"/>
      <c r="AE35" s="1577"/>
      <c r="AF35" s="1578"/>
      <c r="AG35" s="1474">
        <v>14</v>
      </c>
      <c r="AH35" s="333">
        <v>1</v>
      </c>
      <c r="AI35" s="1324">
        <f>VLOOKUP("Ring P1",Data!$A$2335:$E$2335,2,FALSE)</f>
        <v>1</v>
      </c>
      <c r="AJ35" s="1324">
        <f>VLOOKUP("Ring P2",Data!$A$2336:$E$2336,2,FALSE)</f>
        <v>2</v>
      </c>
      <c r="AK35" s="1324">
        <f>VLOOKUP("Ring P3",Data!$A$2337:$E$2337,2,FALSE)</f>
        <v>4</v>
      </c>
      <c r="AL35" s="1324">
        <f>VLOOKUP("Ring P4",Data!$A$2338:$E$2338,2,FALSE)</f>
        <v>3</v>
      </c>
      <c r="AM35" s="1324">
        <f>VLOOKUP("Ring P5",Data!$A$2339:$E$2339,2,FALSE)</f>
        <v>0</v>
      </c>
      <c r="AN35" s="1325">
        <f>VLOOKUP("Ring P6",Data!$A$2340:$E$2340,2,FALSE)</f>
        <v>0</v>
      </c>
      <c r="AO35" s="23"/>
      <c r="AP35" s="20"/>
      <c r="AQ35" s="17"/>
      <c r="AR35" s="17"/>
      <c r="AS35" s="17"/>
      <c r="AT35" s="21"/>
      <c r="AU35" s="18"/>
      <c r="AV35" s="18"/>
      <c r="AW35" s="18"/>
      <c r="AX35" s="18"/>
      <c r="AY35" s="24"/>
      <c r="AZ35" s="9"/>
      <c r="BA35" s="10"/>
      <c r="BB35" s="10"/>
      <c r="BC35" s="10"/>
      <c r="BD35" s="10"/>
      <c r="BE35" s="10"/>
      <c r="BF35" s="10"/>
      <c r="BG35" s="10"/>
      <c r="BH35" s="10"/>
    </row>
    <row r="36" spans="1:60" ht="12" customHeight="1" thickTop="1">
      <c r="A36" s="300" t="s">
        <v>188</v>
      </c>
      <c r="B36" s="586" t="str">
        <f>IF(VLOOKUP("Non-Actuated 1",Data!$A$1523:$K$1569,2,FALSE)= "On", "X", " ")</f>
        <v xml:space="preserve"> </v>
      </c>
      <c r="C36" s="582" t="str">
        <f>IF(VLOOKUP("Non-Actuated 1",Data!$A$1523:$K$1569,3,FALSE)= "On", "X", " ")</f>
        <v xml:space="preserve"> </v>
      </c>
      <c r="D36" s="586" t="str">
        <f>IF(VLOOKUP("Non-Actuated 1",Data!$A$1523:$K$1569,4,FALSE)= "On", "X", " ")</f>
        <v xml:space="preserve"> </v>
      </c>
      <c r="E36" s="582" t="str">
        <f>IF(VLOOKUP("Non-Actuated 1",Data!$A$1523:$K$1569,5,FALSE)= "On", "X", " ")</f>
        <v xml:space="preserve"> </v>
      </c>
      <c r="F36" s="586" t="str">
        <f>IF(VLOOKUP("Non-Actuated 1",Data!$A$1523:$K$1569,6,FALSE)= "On", "X", " ")</f>
        <v xml:space="preserve"> </v>
      </c>
      <c r="G36" s="582" t="str">
        <f>IF(VLOOKUP("Non-Actuated 1",Data!$A$1523:$K$1569,7,FALSE)= "On", "X", " ")</f>
        <v xml:space="preserve"> </v>
      </c>
      <c r="H36" s="586" t="str">
        <f>IF(VLOOKUP("Non-Actuated 1",Data!$A$1523:$K$1569,8,FALSE)= "On", "X", " ")</f>
        <v xml:space="preserve"> </v>
      </c>
      <c r="I36" s="582" t="str">
        <f>IF(VLOOKUP("Non-Actuated 1",Data!$A$1523:$K$1569,9,FALSE)= "On", "X", " ")</f>
        <v xml:space="preserve"> </v>
      </c>
      <c r="J36" s="586" t="str">
        <f>IF(VLOOKUP("Non-Actuated 1",Data!$A$1523:$K$1569,10,FALSE)= "On", "X", " ")</f>
        <v xml:space="preserve"> </v>
      </c>
      <c r="K36" s="590" t="str">
        <f>IF(VLOOKUP("Non-Actuated 1",Data!$A$1523:$K$1569,11,FALSE)= "On", "X", " ")</f>
        <v xml:space="preserve"> </v>
      </c>
      <c r="L36" s="1569" t="s">
        <v>187</v>
      </c>
      <c r="M36" s="1569"/>
      <c r="N36" s="1570"/>
      <c r="O36" s="1623" t="str">
        <f>VLOOKUP("Async 1 Port",Data!$A:$E,2,FALSE)</f>
        <v>SP1</v>
      </c>
      <c r="P36" s="1624"/>
      <c r="Q36" s="1566" t="str">
        <f>VLOOKUP("Async 1 Echo",Data!$A:$E,2,FALSE)</f>
        <v>NONE</v>
      </c>
      <c r="R36" s="1566" t="e">
        <f>VLOOKUP("Concur 1",#REF!,2,FALSE)</f>
        <v>#REF!</v>
      </c>
      <c r="S36" s="1566">
        <f>VLOOKUP("Async 1 Mode",Data!$A:$E,2,FALSE)</f>
        <v>0</v>
      </c>
      <c r="T36" s="1567" t="e">
        <f>VLOOKUP("Concur 1",#REF!,2,FALSE)</f>
        <v>#REF!</v>
      </c>
      <c r="U36" s="501"/>
      <c r="V36" s="515"/>
      <c r="W36" s="510">
        <v>1</v>
      </c>
      <c r="X36" s="1476">
        <f>VLOOKUP("Baud",Data!$A:$D,2,FALSE)</f>
        <v>0</v>
      </c>
      <c r="Y36" s="1476" t="e">
        <f>VLOOKUP("IP Address 1",#REF!,2,FALSE)</f>
        <v>#REF!</v>
      </c>
      <c r="Z36" s="1476">
        <f>VLOOKUP("FCM",Data!$A:$D,2,FALSE)</f>
        <v>6</v>
      </c>
      <c r="AA36" s="1477" t="e">
        <f>VLOOKUP("IP Address 1",#REF!,2,FALSE)</f>
        <v>#REF!</v>
      </c>
      <c r="AB36" s="1576"/>
      <c r="AC36" s="1577"/>
      <c r="AD36" s="1577"/>
      <c r="AE36" s="1577"/>
      <c r="AF36" s="1578"/>
      <c r="AG36" s="1474"/>
      <c r="AH36" s="334">
        <v>2</v>
      </c>
      <c r="AI36" s="1324">
        <f>VLOOKUP("Ring P1",Data!$A$2335:$E$2335,3,FALSE)</f>
        <v>6</v>
      </c>
      <c r="AJ36" s="1324">
        <f>VLOOKUP("Ring P2",Data!$A$2336:$E$2336,3,FALSE)</f>
        <v>5</v>
      </c>
      <c r="AK36" s="1324">
        <f>VLOOKUP("Ring P3",Data!$A$2337:$E$2337,3,FALSE)</f>
        <v>8</v>
      </c>
      <c r="AL36" s="1324">
        <f>VLOOKUP("Ring P4",Data!$A$2338:$E$2338,3,FALSE)</f>
        <v>7</v>
      </c>
      <c r="AM36" s="1324">
        <f>VLOOKUP("Ring P5",Data!$A$2339:$E$2339,3,FALSE)</f>
        <v>0</v>
      </c>
      <c r="AN36" s="1325">
        <f>VLOOKUP("Ring P6",Data!$A$2340:$E$2340,3,FALSE)</f>
        <v>0</v>
      </c>
      <c r="AO36" s="23"/>
      <c r="AP36" s="17"/>
      <c r="AQ36" s="17"/>
      <c r="AR36" s="17"/>
      <c r="AS36" s="17"/>
      <c r="AT36" s="17"/>
      <c r="AU36" s="17"/>
      <c r="AV36" s="17"/>
      <c r="AW36" s="17"/>
      <c r="AX36" s="18"/>
      <c r="AY36" s="24"/>
      <c r="AZ36" s="9"/>
      <c r="BA36" s="10"/>
      <c r="BB36" s="10"/>
      <c r="BC36" s="10"/>
      <c r="BD36" s="10"/>
      <c r="BE36" s="10"/>
      <c r="BF36" s="10"/>
      <c r="BG36" s="10"/>
      <c r="BH36" s="10"/>
    </row>
    <row r="37" spans="1:60" ht="12" customHeight="1">
      <c r="A37" s="300" t="s">
        <v>190</v>
      </c>
      <c r="B37" s="586" t="str">
        <f>IF(VLOOKUP("Non-Actuated 2",Data!$A$1523:$K$1569,2,FALSE)= "On", "X", " ")</f>
        <v xml:space="preserve"> </v>
      </c>
      <c r="C37" s="582" t="str">
        <f>IF(VLOOKUP("Non-Actuated 2",Data!$A$1523:$K$1569,3,FALSE)= "On", "X", " ")</f>
        <v xml:space="preserve"> </v>
      </c>
      <c r="D37" s="586" t="str">
        <f>IF(VLOOKUP("Non-Actuated 2",Data!$A$1523:$K$1569,4,FALSE)= "On", "X", " ")</f>
        <v xml:space="preserve"> </v>
      </c>
      <c r="E37" s="582" t="str">
        <f>IF(VLOOKUP("Non-Actuated 2",Data!$A$1523:$K$1569,5,FALSE)= "On", "X", " ")</f>
        <v xml:space="preserve"> </v>
      </c>
      <c r="F37" s="586" t="str">
        <f>IF(VLOOKUP("Non-Actuated 2",Data!$A$1523:$K$1569,6,FALSE)= "On", "X", " ")</f>
        <v xml:space="preserve"> </v>
      </c>
      <c r="G37" s="582" t="str">
        <f>IF(VLOOKUP("Non-Actuated 2",Data!$A$1523:$K$1569,7,FALSE)= "On", "X", " ")</f>
        <v xml:space="preserve"> </v>
      </c>
      <c r="H37" s="586" t="str">
        <f>IF(VLOOKUP("Non-Actuated 2",Data!$A$1523:$K$1569,8,FALSE)= "On", "X", " ")</f>
        <v xml:space="preserve"> </v>
      </c>
      <c r="I37" s="582" t="str">
        <f>IF(VLOOKUP("Non-Actuated 2",Data!$A$1523:$K$1569,9,FALSE)= "On", "X", " ")</f>
        <v xml:space="preserve"> </v>
      </c>
      <c r="J37" s="586" t="str">
        <f>IF(VLOOKUP("Non-Actuated 2",Data!$A$1523:$K$1569,10,FALSE)= "On", "X", " ")</f>
        <v xml:space="preserve"> </v>
      </c>
      <c r="K37" s="590" t="str">
        <f>IF(VLOOKUP("Non-Actuated 2",Data!$A$1523:$K$1569,11,FALSE)= "On", "X", " ")</f>
        <v xml:space="preserve"> </v>
      </c>
      <c r="L37" s="1448" t="s">
        <v>189</v>
      </c>
      <c r="M37" s="1448"/>
      <c r="N37" s="1449"/>
      <c r="O37" s="1445" t="str">
        <f>VLOOKUP("Async 1 Port",Data!$A:$E,3,FALSE)</f>
        <v>SP2</v>
      </c>
      <c r="P37" s="1481"/>
      <c r="Q37" s="1482" t="str">
        <f>VLOOKUP("Async 1 Echo",Data!$A:$E,3,FALSE)</f>
        <v>NONE</v>
      </c>
      <c r="R37" s="1482" t="e">
        <f>VLOOKUP("Concur 1",#REF!,2,FALSE)</f>
        <v>#REF!</v>
      </c>
      <c r="S37" s="1482">
        <f>VLOOKUP("Async 1 Mode",Data!$A:$E,3,FALSE)</f>
        <v>0</v>
      </c>
      <c r="T37" s="1483" t="e">
        <f>VLOOKUP("Concur 1",#REF!,2,FALSE)</f>
        <v>#REF!</v>
      </c>
      <c r="U37" s="501"/>
      <c r="V37" s="515"/>
      <c r="W37" s="511">
        <v>2</v>
      </c>
      <c r="X37" s="1479">
        <f>VLOOKUP("Baud",Data!$A:$D,3,FALSE)</f>
        <v>0</v>
      </c>
      <c r="Y37" s="1479" t="e">
        <f>VLOOKUP("IP Address 1",#REF!,2,FALSE)</f>
        <v>#REF!</v>
      </c>
      <c r="Z37" s="1479">
        <f>VLOOKUP("FCM",Data!$A:$D,3,FALSE)</f>
        <v>6</v>
      </c>
      <c r="AA37" s="1480" t="e">
        <f>VLOOKUP("IP Address 1",#REF!,2,FALSE)</f>
        <v>#REF!</v>
      </c>
      <c r="AB37" s="1576"/>
      <c r="AC37" s="1577"/>
      <c r="AD37" s="1577"/>
      <c r="AE37" s="1577"/>
      <c r="AF37" s="1578"/>
      <c r="AG37" s="1541">
        <v>15</v>
      </c>
      <c r="AH37" s="445">
        <v>1</v>
      </c>
      <c r="AI37" s="656">
        <f>VLOOKUP("Ring P1",Data!$A$2346:$E$2346,2,FALSE)</f>
        <v>2</v>
      </c>
      <c r="AJ37" s="656">
        <f>VLOOKUP("Ring P2",Data!$A$2347:$E$2347,2,FALSE)</f>
        <v>1</v>
      </c>
      <c r="AK37" s="656">
        <f>VLOOKUP("Ring P3",Data!$A$2348:$E$2348,2,FALSE)</f>
        <v>4</v>
      </c>
      <c r="AL37" s="656">
        <f>VLOOKUP("Ring P4",Data!$A$2349:$E$2349,2,FALSE)</f>
        <v>3</v>
      </c>
      <c r="AM37" s="656">
        <f>VLOOKUP("Ring P5",Data!$A$2350:$E$2350,2,FALSE)</f>
        <v>0</v>
      </c>
      <c r="AN37" s="657">
        <f>VLOOKUP("Ring P6",Data!$A$2351:$E$2351,2,FALSE)</f>
        <v>0</v>
      </c>
      <c r="AO37" s="22"/>
      <c r="AP37" s="20"/>
      <c r="AQ37" s="17"/>
      <c r="AR37" s="17"/>
      <c r="AS37" s="17"/>
      <c r="AT37" s="21"/>
      <c r="AU37" s="18"/>
      <c r="AV37" s="18"/>
      <c r="AW37" s="18"/>
      <c r="AX37" s="18"/>
      <c r="AY37" s="24"/>
      <c r="AZ37" s="9"/>
      <c r="BA37" s="10"/>
      <c r="BB37" s="10"/>
      <c r="BC37" s="10"/>
      <c r="BD37" s="10"/>
      <c r="BE37" s="10"/>
      <c r="BF37" s="10"/>
      <c r="BG37" s="10"/>
      <c r="BH37" s="10"/>
    </row>
    <row r="38" spans="1:60" ht="12" customHeight="1" thickBot="1">
      <c r="A38" s="301" t="s">
        <v>110</v>
      </c>
      <c r="B38" s="591" t="str">
        <f>IF(VLOOKUP("Add Init Calc",Data!$A$1523:$K$1569,2,FALSE)= "On", "X", " ")</f>
        <v xml:space="preserve"> </v>
      </c>
      <c r="C38" s="589" t="str">
        <f>IF(VLOOKUP("Add Init Calc",Data!$A$1523:$K$1569,3,FALSE)= "On", "X", " ")</f>
        <v xml:space="preserve"> </v>
      </c>
      <c r="D38" s="591" t="str">
        <f>IF(VLOOKUP("Add Init Calc",Data!$A$1523:$K$1569,4,FALSE)= "On", "X", " ")</f>
        <v xml:space="preserve"> </v>
      </c>
      <c r="E38" s="589" t="str">
        <f>IF(VLOOKUP("Add Init Calc",Data!$A$1523:$K$1569,5,FALSE)= "On", "X", " ")</f>
        <v xml:space="preserve"> </v>
      </c>
      <c r="F38" s="591" t="str">
        <f>IF(VLOOKUP("Add Init Calc",Data!$A$1523:$K$1569,6,FALSE)= "On", "X", " ")</f>
        <v xml:space="preserve"> </v>
      </c>
      <c r="G38" s="589" t="str">
        <f>IF(VLOOKUP("Add Init Calc",Data!$A$1523:$K$1569,7,FALSE)= "On", "X", " ")</f>
        <v xml:space="preserve"> </v>
      </c>
      <c r="H38" s="591" t="str">
        <f>IF(VLOOKUP("Add Init Calc",Data!$A$1523:$K$1569,8,FALSE)= "On", "X", " ")</f>
        <v xml:space="preserve"> </v>
      </c>
      <c r="I38" s="589" t="str">
        <f>IF(VLOOKUP("Add Init Calc",Data!$A$1523:$K$1569,9,FALSE)= "On", "X", " ")</f>
        <v xml:space="preserve"> </v>
      </c>
      <c r="J38" s="591" t="str">
        <f>IF(VLOOKUP("Add Init Calc",Data!$A$1523:$K$1569,10,FALSE)= "On", "X", " ")</f>
        <v xml:space="preserve"> </v>
      </c>
      <c r="K38" s="589" t="str">
        <f>IF(VLOOKUP("Add Init Calc",Data!$A$1523:$K$1569,11,FALSE)= "On", "X", " ")</f>
        <v xml:space="preserve"> </v>
      </c>
      <c r="L38" s="1563" t="s">
        <v>191</v>
      </c>
      <c r="M38" s="1564"/>
      <c r="N38" s="1565"/>
      <c r="O38" s="1484" t="str">
        <f>VLOOKUP("Async 1 Port",Data!$A:$E,4,FALSE)</f>
        <v>SP8</v>
      </c>
      <c r="P38" s="1485"/>
      <c r="Q38" s="1571" t="str">
        <f>VLOOKUP("Async 1 Echo",Data!$A:$E,4,FALSE)</f>
        <v>NONE</v>
      </c>
      <c r="R38" s="1571" t="e">
        <f>VLOOKUP("Concur 1",#REF!,2,FALSE)</f>
        <v>#REF!</v>
      </c>
      <c r="S38" s="1571">
        <f>VLOOKUP("Async 1 Mode",Data!$A:$E,4,FALSE)</f>
        <v>0</v>
      </c>
      <c r="T38" s="1572" t="e">
        <f>VLOOKUP("Concur 1",#REF!,2,FALSE)</f>
        <v>#REF!</v>
      </c>
      <c r="U38" s="501"/>
      <c r="V38" s="515"/>
      <c r="W38" s="502">
        <v>3</v>
      </c>
      <c r="X38" s="1540">
        <f>VLOOKUP("Baud",Data!$A:$D,4,FALSE)</f>
        <v>0</v>
      </c>
      <c r="Y38" s="1540" t="e">
        <f>VLOOKUP("IP Address 1",#REF!,2,FALSE)</f>
        <v>#REF!</v>
      </c>
      <c r="Z38" s="1540">
        <f>VLOOKUP("FCM",Data!$A:$D,4,FALSE)</f>
        <v>6</v>
      </c>
      <c r="AA38" s="1685" t="e">
        <f>VLOOKUP("IP Address 1",#REF!,2,FALSE)</f>
        <v>#REF!</v>
      </c>
      <c r="AB38" s="1576"/>
      <c r="AC38" s="1577"/>
      <c r="AD38" s="1577"/>
      <c r="AE38" s="1577"/>
      <c r="AF38" s="1578"/>
      <c r="AG38" s="1541"/>
      <c r="AH38" s="444">
        <v>2</v>
      </c>
      <c r="AI38" s="656">
        <f>VLOOKUP("Ring P1",Data!$A$2346:$E$3059,3,FALSE)</f>
        <v>5</v>
      </c>
      <c r="AJ38" s="656">
        <f>VLOOKUP("Ring P2",Data!$A$2347:$E$2347,3,FALSE)</f>
        <v>6</v>
      </c>
      <c r="AK38" s="656">
        <f>VLOOKUP("Ring P3",Data!$A$2348:$E$2348,3,FALSE)</f>
        <v>8</v>
      </c>
      <c r="AL38" s="656">
        <f>VLOOKUP("Ring P4",Data!$A$2349:$E$2349,3,FALSE)</f>
        <v>7</v>
      </c>
      <c r="AM38" s="656">
        <f>VLOOKUP("Ring P5",Data!$A$2350:$E$2350,3,FALSE)</f>
        <v>0</v>
      </c>
      <c r="AN38" s="657">
        <f>VLOOKUP("Ring P6",Data!$A$2351:$E$2351,3,FALSE)</f>
        <v>0</v>
      </c>
      <c r="AO38" s="22"/>
      <c r="AP38" s="26"/>
      <c r="AQ38" s="26"/>
      <c r="AR38" s="26"/>
      <c r="AS38" s="26"/>
      <c r="AT38" s="26"/>
      <c r="AU38" s="26"/>
      <c r="AV38" s="26"/>
      <c r="AW38" s="26"/>
      <c r="AX38" s="26"/>
      <c r="AY38" s="24"/>
      <c r="AZ38" s="9"/>
      <c r="BA38" s="10"/>
      <c r="BB38" s="10"/>
      <c r="BC38" s="10"/>
      <c r="BD38" s="10"/>
      <c r="BE38" s="10"/>
      <c r="BF38" s="10"/>
      <c r="BG38" s="10"/>
      <c r="BH38" s="10"/>
    </row>
    <row r="39" spans="1:60" ht="12" customHeight="1" thickBot="1">
      <c r="A39" s="574"/>
      <c r="B39" s="575"/>
      <c r="C39" s="575"/>
      <c r="D39" s="575"/>
      <c r="E39" s="575"/>
      <c r="F39" s="575"/>
      <c r="G39" s="575"/>
      <c r="H39" s="575"/>
      <c r="I39" s="575"/>
      <c r="J39" s="30"/>
      <c r="K39" s="31"/>
      <c r="L39" s="1447" t="s">
        <v>192</v>
      </c>
      <c r="M39" s="1448"/>
      <c r="N39" s="1449"/>
      <c r="O39" s="1445" t="str">
        <f>VLOOKUP("Async 1 Port",Data!$A:$E,5,FALSE)</f>
        <v>OFF</v>
      </c>
      <c r="P39" s="1481"/>
      <c r="Q39" s="1614" t="str">
        <f>VLOOKUP("Async 1 Echo",Data!$A:$E,5,FALSE)</f>
        <v>NONE</v>
      </c>
      <c r="R39" s="1614" t="e">
        <f>VLOOKUP("Concur 1",#REF!,2,FALSE)</f>
        <v>#REF!</v>
      </c>
      <c r="S39" s="1614">
        <f>VLOOKUP("Async 1 Mode",Data!$A:$E,5,FALSE)</f>
        <v>0</v>
      </c>
      <c r="T39" s="1615" t="e">
        <f>VLOOKUP("Concur 1",#REF!,2,FALSE)</f>
        <v>#REF!</v>
      </c>
      <c r="U39" s="517"/>
      <c r="V39" s="516"/>
      <c r="W39" s="512">
        <v>4</v>
      </c>
      <c r="X39" s="1420">
        <f>VLOOKUP("Baud",Data!$A:$E,5,FALSE)</f>
        <v>0</v>
      </c>
      <c r="Y39" s="1420"/>
      <c r="Z39" s="1420">
        <f>VLOOKUP("FCM",Data!$A:$E,5,FALSE)</f>
        <v>6</v>
      </c>
      <c r="AA39" s="1573"/>
      <c r="AB39" s="1579"/>
      <c r="AC39" s="1580"/>
      <c r="AD39" s="1580"/>
      <c r="AE39" s="1580"/>
      <c r="AF39" s="1581"/>
      <c r="AG39" s="1474">
        <v>16</v>
      </c>
      <c r="AH39" s="333">
        <v>1</v>
      </c>
      <c r="AI39" s="1326">
        <f>VLOOKUP("Ring P1",Data!$A$2357:$E$2357,2,FALSE)</f>
        <v>2</v>
      </c>
      <c r="AJ39" s="1326">
        <f>VLOOKUP("Ring P2",Data!$A$2358:$E$2358,2,FALSE)</f>
        <v>1</v>
      </c>
      <c r="AK39" s="1326">
        <f>VLOOKUP("Ring P3",Data!$A$2359:$E$2359,2,FALSE)</f>
        <v>4</v>
      </c>
      <c r="AL39" s="1326">
        <f>VLOOKUP("Ring P4",Data!$A$2360:$E$2360,2,FALSE)</f>
        <v>3</v>
      </c>
      <c r="AM39" s="1326">
        <f>VLOOKUP("Ring P5",Data!$A$2361:$E$2361,2,FALSE)</f>
        <v>0</v>
      </c>
      <c r="AN39" s="1327">
        <f>VLOOKUP("Ring P6",Data!$A$2362:$E$2362,2,FALSE)</f>
        <v>0</v>
      </c>
      <c r="AO39" s="23"/>
      <c r="AP39" s="26"/>
      <c r="AQ39" s="26"/>
      <c r="AR39" s="26"/>
      <c r="AS39" s="26"/>
      <c r="AT39" s="26"/>
      <c r="AU39" s="26"/>
      <c r="AV39" s="26"/>
      <c r="AW39" s="26"/>
      <c r="AX39" s="26"/>
      <c r="AY39" s="24"/>
      <c r="AZ39" s="9"/>
      <c r="BA39" s="10"/>
      <c r="BB39" s="10"/>
      <c r="BC39" s="10"/>
      <c r="BD39" s="10"/>
      <c r="BE39" s="10"/>
      <c r="BF39" s="10"/>
      <c r="BG39" s="10"/>
      <c r="BH39" s="10"/>
    </row>
    <row r="40" spans="1:60" ht="12" customHeight="1" thickBot="1">
      <c r="A40" s="576"/>
      <c r="B40" s="1415" t="s">
        <v>1022</v>
      </c>
      <c r="C40" s="1415"/>
      <c r="D40" s="575"/>
      <c r="E40" s="575"/>
      <c r="F40" s="575"/>
      <c r="G40" s="575"/>
      <c r="H40" s="575"/>
      <c r="I40" s="575"/>
      <c r="J40" s="30"/>
      <c r="K40" s="30"/>
      <c r="L40" s="1447" t="s">
        <v>193</v>
      </c>
      <c r="M40" s="1448"/>
      <c r="N40" s="1449"/>
      <c r="O40" s="1560" t="str">
        <f>VLOOKUP("Hdwr Port",Data!$A:$E,2,FALSE)</f>
        <v>SP5S</v>
      </c>
      <c r="P40" s="1543"/>
      <c r="Q40" s="1662"/>
      <c r="R40" s="1663"/>
      <c r="S40" s="1663"/>
      <c r="T40" s="1663"/>
      <c r="U40" s="1663"/>
      <c r="V40" s="1664"/>
      <c r="W40" s="520" t="s">
        <v>195</v>
      </c>
      <c r="X40" s="521"/>
      <c r="Y40" s="522"/>
      <c r="Z40" s="522"/>
      <c r="AA40" s="522"/>
      <c r="AB40" s="523"/>
      <c r="AC40" s="524" t="s">
        <v>1026</v>
      </c>
      <c r="AD40" s="525"/>
      <c r="AE40" s="525"/>
      <c r="AF40" s="526"/>
      <c r="AG40" s="1475"/>
      <c r="AH40" s="335">
        <v>2</v>
      </c>
      <c r="AI40" s="1330">
        <f>VLOOKUP("Ring P1",Data!$A$2357:$E$2357,3,FALSE)</f>
        <v>6</v>
      </c>
      <c r="AJ40" s="1330">
        <f>VLOOKUP("Ring P2",Data!$A$2358:$E$2358,3,FALSE)</f>
        <v>5</v>
      </c>
      <c r="AK40" s="1330">
        <f>VLOOKUP("Ring P3",Data!$A$2359:$E$2359,3,FALSE)</f>
        <v>8</v>
      </c>
      <c r="AL40" s="1330">
        <f>VLOOKUP("Ring P4",Data!$A$2360:$E$2360,3,FALSE)</f>
        <v>7</v>
      </c>
      <c r="AM40" s="1330">
        <f>VLOOKUP("Ring P5",Data!$A$2361:$E$2361,3,FALSE)</f>
        <v>0</v>
      </c>
      <c r="AN40" s="1331">
        <f>VLOOKUP("Ring P6",Data!$A$2362:$E$2362,3,FALSE)</f>
        <v>0</v>
      </c>
      <c r="AO40" s="23"/>
      <c r="AP40" s="26"/>
      <c r="AQ40" s="26"/>
      <c r="AR40" s="26"/>
      <c r="AS40" s="26"/>
      <c r="AT40" s="26"/>
      <c r="AU40" s="26"/>
      <c r="AV40" s="26"/>
      <c r="AW40" s="26"/>
      <c r="AX40" s="26"/>
      <c r="AY40" s="24"/>
      <c r="AZ40" s="9"/>
      <c r="BA40" s="10"/>
      <c r="BB40" s="10"/>
      <c r="BC40" s="10"/>
      <c r="BD40" s="10"/>
      <c r="BE40" s="10"/>
      <c r="BF40" s="10"/>
      <c r="BG40" s="10"/>
      <c r="BH40" s="10"/>
    </row>
    <row r="41" spans="1:60" ht="12" customHeight="1" thickTop="1">
      <c r="A41" s="576"/>
      <c r="B41" s="575"/>
      <c r="C41" s="575"/>
      <c r="D41" s="575"/>
      <c r="E41" s="577"/>
      <c r="F41" s="575"/>
      <c r="G41" s="575"/>
      <c r="H41" s="575"/>
      <c r="I41" s="575"/>
      <c r="J41" s="30"/>
      <c r="K41" s="30"/>
      <c r="L41" s="1447" t="s">
        <v>196</v>
      </c>
      <c r="M41" s="1448"/>
      <c r="N41" s="1449"/>
      <c r="O41" s="1561" t="str">
        <f>VLOOKUP("Hdwr Port",Data!$A:$I,3,FALSE)</f>
        <v>OFF</v>
      </c>
      <c r="P41" s="1562"/>
      <c r="Q41" s="1662"/>
      <c r="R41" s="1663"/>
      <c r="S41" s="1663"/>
      <c r="T41" s="1663"/>
      <c r="U41" s="1663"/>
      <c r="V41" s="1664"/>
      <c r="W41" s="1582" t="s">
        <v>199</v>
      </c>
      <c r="X41" s="1583"/>
      <c r="Y41" s="646">
        <v>0</v>
      </c>
      <c r="Z41" s="1295">
        <v>0</v>
      </c>
      <c r="AA41" s="1295">
        <v>0</v>
      </c>
      <c r="AB41" s="648">
        <v>0</v>
      </c>
      <c r="AC41" s="1525" t="s">
        <v>1024</v>
      </c>
      <c r="AD41" s="1526"/>
      <c r="AE41" s="1526"/>
      <c r="AF41" s="1527"/>
      <c r="AG41" s="238" t="s">
        <v>201</v>
      </c>
      <c r="AH41" s="30"/>
      <c r="AI41" s="30"/>
      <c r="AJ41" s="30"/>
      <c r="AK41" s="31"/>
      <c r="AL41" s="156"/>
      <c r="AM41" s="156"/>
      <c r="AN41" s="212"/>
      <c r="AO41" s="32"/>
      <c r="AP41" s="26"/>
      <c r="AQ41" s="26"/>
      <c r="AR41" s="26"/>
      <c r="AS41" s="26"/>
      <c r="AT41" s="26"/>
      <c r="AU41" s="26"/>
      <c r="AV41" s="26"/>
      <c r="AW41" s="26"/>
      <c r="AX41" s="26"/>
      <c r="AY41" s="24"/>
      <c r="AZ41" s="9"/>
      <c r="BA41" s="10"/>
      <c r="BB41" s="10"/>
      <c r="BC41" s="10"/>
      <c r="BD41" s="10"/>
      <c r="BE41" s="10"/>
      <c r="BF41" s="10"/>
      <c r="BG41" s="10"/>
      <c r="BH41" s="10"/>
    </row>
    <row r="42" spans="1:60" ht="12" customHeight="1" thickBot="1">
      <c r="A42" s="576"/>
      <c r="B42" s="1452" t="str">
        <f>Data!B123</f>
        <v>Beta</v>
      </c>
      <c r="C42" s="575"/>
      <c r="D42" s="575"/>
      <c r="E42" s="575"/>
      <c r="F42" s="1513" t="s">
        <v>769</v>
      </c>
      <c r="G42" s="575"/>
      <c r="H42" s="575"/>
      <c r="I42" s="575"/>
      <c r="J42" s="30"/>
      <c r="K42" s="30"/>
      <c r="L42" s="1447" t="s">
        <v>200</v>
      </c>
      <c r="M42" s="1448"/>
      <c r="N42" s="1449"/>
      <c r="O42" s="1450" t="str">
        <f>VLOOKUP("TS2CVM Channel",Data!$A:$E,2,FALSE)</f>
        <v>NONE</v>
      </c>
      <c r="P42" s="1451"/>
      <c r="Q42" s="1662"/>
      <c r="R42" s="1663"/>
      <c r="S42" s="1663"/>
      <c r="T42" s="1663"/>
      <c r="U42" s="1663"/>
      <c r="V42" s="1664"/>
      <c r="W42" s="1520" t="s">
        <v>202</v>
      </c>
      <c r="X42" s="1521"/>
      <c r="Y42" s="652">
        <v>0</v>
      </c>
      <c r="Z42" s="1293">
        <v>0</v>
      </c>
      <c r="AA42" s="1293">
        <v>0</v>
      </c>
      <c r="AB42" s="1294">
        <f>VLOOKUP("IP Mask 4",Data!$A:$B,2,FALSE)</f>
        <v>0</v>
      </c>
      <c r="AC42" s="654">
        <v>0</v>
      </c>
      <c r="AD42" s="1298">
        <v>0</v>
      </c>
      <c r="AE42" s="1298">
        <v>0</v>
      </c>
      <c r="AF42" s="1299">
        <v>0</v>
      </c>
      <c r="AG42" s="33"/>
      <c r="AH42" s="30"/>
      <c r="AI42" s="30"/>
      <c r="AJ42" s="296" t="s">
        <v>204</v>
      </c>
      <c r="AK42" s="297" t="s">
        <v>766</v>
      </c>
      <c r="AL42" s="156"/>
      <c r="AM42" s="156"/>
      <c r="AN42" s="212"/>
      <c r="AO42" s="32"/>
      <c r="AP42" s="26"/>
      <c r="AQ42" s="26"/>
      <c r="AR42" s="26"/>
      <c r="AS42" s="26"/>
      <c r="AT42" s="26"/>
      <c r="AU42" s="26"/>
      <c r="AV42" s="26"/>
      <c r="AW42" s="26"/>
      <c r="AX42" s="26"/>
      <c r="AY42" s="24"/>
      <c r="AZ42" s="9"/>
      <c r="BA42" s="10"/>
      <c r="BB42" s="10"/>
      <c r="BC42" s="10"/>
      <c r="BD42" s="10"/>
      <c r="BE42" s="10"/>
      <c r="BF42" s="10"/>
      <c r="BG42" s="10"/>
      <c r="BH42" s="10"/>
    </row>
    <row r="43" spans="1:60" ht="12" customHeight="1" thickTop="1">
      <c r="A43" s="576"/>
      <c r="B43" s="1452"/>
      <c r="C43" s="575"/>
      <c r="D43" s="575"/>
      <c r="E43" s="575"/>
      <c r="F43" s="1513"/>
      <c r="G43" s="575"/>
      <c r="H43" s="575"/>
      <c r="I43" s="575"/>
      <c r="J43" s="30"/>
      <c r="K43" s="30"/>
      <c r="L43" s="1447" t="s">
        <v>203</v>
      </c>
      <c r="M43" s="1448"/>
      <c r="N43" s="1449"/>
      <c r="O43" s="1445" t="str">
        <f>VLOOKUP("OPTICOM Channel",Data!$A:$E,2,FALSE)</f>
        <v>NONE</v>
      </c>
      <c r="P43" s="1446"/>
      <c r="Q43" s="1662"/>
      <c r="R43" s="1663"/>
      <c r="S43" s="1663"/>
      <c r="T43" s="1663"/>
      <c r="U43" s="1663"/>
      <c r="V43" s="1664"/>
      <c r="W43" s="1522" t="s">
        <v>205</v>
      </c>
      <c r="X43" s="1523"/>
      <c r="Y43" s="649">
        <v>0</v>
      </c>
      <c r="Z43" s="650">
        <v>0</v>
      </c>
      <c r="AA43" s="650">
        <v>0</v>
      </c>
      <c r="AB43" s="651">
        <v>0</v>
      </c>
      <c r="AC43" s="1528" t="s">
        <v>1025</v>
      </c>
      <c r="AD43" s="1529"/>
      <c r="AE43" s="1529"/>
      <c r="AF43" s="1530"/>
      <c r="AG43" s="1460" t="s">
        <v>206</v>
      </c>
      <c r="AH43" s="1461"/>
      <c r="AI43" s="1462"/>
      <c r="AJ43" s="646">
        <f>VLOOKUP("Aux Out 1 P",Data!$A:$E,2,FALSE)</f>
        <v>0</v>
      </c>
      <c r="AK43" s="1296">
        <f>VLOOKUP("Aux Out 1 Time",Data!$A:$E,2,FALSE)</f>
        <v>0</v>
      </c>
      <c r="AL43" s="156"/>
      <c r="AM43" s="156"/>
      <c r="AN43" s="212"/>
      <c r="AO43" s="32"/>
      <c r="AP43" s="26"/>
      <c r="AQ43" s="26"/>
      <c r="AR43" s="26"/>
      <c r="AS43" s="26"/>
      <c r="AT43" s="26"/>
      <c r="AU43" s="26"/>
      <c r="AV43" s="26"/>
      <c r="AW43" s="26"/>
      <c r="AX43" s="26"/>
      <c r="AY43" s="24"/>
      <c r="AZ43" s="9"/>
      <c r="BA43" s="10"/>
      <c r="BB43" s="10"/>
      <c r="BC43" s="10"/>
      <c r="BD43" s="10"/>
      <c r="BE43" s="10"/>
      <c r="BF43" s="10"/>
      <c r="BG43" s="10"/>
      <c r="BH43" s="10"/>
    </row>
    <row r="44" spans="1:60" ht="12" customHeight="1" thickBot="1">
      <c r="A44" s="578">
        <v>3</v>
      </c>
      <c r="B44" s="1452"/>
      <c r="C44" s="575"/>
      <c r="D44" s="575"/>
      <c r="E44" s="575"/>
      <c r="F44" s="1513"/>
      <c r="G44" s="575"/>
      <c r="H44" s="575"/>
      <c r="I44" s="575"/>
      <c r="J44" s="156"/>
      <c r="K44" s="30"/>
      <c r="L44" s="1609" t="s">
        <v>719</v>
      </c>
      <c r="M44" s="1610"/>
      <c r="N44" s="1611"/>
      <c r="O44" s="1612" t="str">
        <f>VLOOKUP("GPS Channel",Data!$A:$E,2,FALSE)</f>
        <v>NONE</v>
      </c>
      <c r="P44" s="1613"/>
      <c r="Q44" s="1665"/>
      <c r="R44" s="1666"/>
      <c r="S44" s="1666"/>
      <c r="T44" s="1666"/>
      <c r="U44" s="1666"/>
      <c r="V44" s="1667"/>
      <c r="W44" s="1680" t="s">
        <v>207</v>
      </c>
      <c r="X44" s="1681"/>
      <c r="Y44" s="1682">
        <v>0</v>
      </c>
      <c r="Z44" s="1683"/>
      <c r="AA44" s="1683"/>
      <c r="AB44" s="1684"/>
      <c r="AC44" s="654">
        <f>VLOOKUP("IP Address 1",Data!$A:$D,4,FALSE)</f>
        <v>0</v>
      </c>
      <c r="AD44" s="1298">
        <f>VLOOKUP("IP Address 2",Data!$A:$D,4,FALSE)</f>
        <v>0</v>
      </c>
      <c r="AE44" s="1298">
        <f>VLOOKUP("IP Address 3",Data!$A:$D,4,FALSE)</f>
        <v>0</v>
      </c>
      <c r="AF44" s="1299">
        <f>VLOOKUP("IP Address 4",Data!$A:$D,4,FALSE)</f>
        <v>0</v>
      </c>
      <c r="AG44" s="1457" t="s">
        <v>208</v>
      </c>
      <c r="AH44" s="1458"/>
      <c r="AI44" s="1459"/>
      <c r="AJ44" s="655">
        <f>VLOOKUP("Aux Out 2 P",Data!$A:$E,2,FALSE)</f>
        <v>0</v>
      </c>
      <c r="AK44" s="1297">
        <f>VLOOKUP("Aux Out 2 Time",Data!$A:$E,2,FALSE)</f>
        <v>0</v>
      </c>
      <c r="AL44" s="156"/>
      <c r="AM44" s="156"/>
      <c r="AN44" s="252"/>
      <c r="AO44" s="32"/>
      <c r="AP44" s="26"/>
      <c r="AQ44" s="26"/>
      <c r="AR44" s="26"/>
      <c r="AS44" s="26"/>
      <c r="AT44" s="26"/>
      <c r="AU44" s="26"/>
      <c r="AV44" s="26"/>
      <c r="AW44" s="26"/>
      <c r="AX44" s="26"/>
      <c r="AY44" s="24"/>
      <c r="AZ44" s="9"/>
      <c r="BA44" s="10"/>
      <c r="BB44" s="10"/>
      <c r="BC44" s="10"/>
      <c r="BD44" s="10"/>
      <c r="BE44" s="10"/>
      <c r="BF44" s="10"/>
      <c r="BG44" s="10"/>
      <c r="BH44" s="10"/>
    </row>
    <row r="45" spans="1:60" ht="12" customHeight="1">
      <c r="A45" s="578">
        <v>8</v>
      </c>
      <c r="B45" s="1452"/>
      <c r="C45" s="575"/>
      <c r="D45" s="575"/>
      <c r="E45" s="934" t="str">
        <f>Data!B45</f>
        <v xml:space="preserve"> Alpha</v>
      </c>
      <c r="F45" s="575"/>
      <c r="G45" s="575"/>
      <c r="H45" s="575"/>
      <c r="I45" s="575"/>
      <c r="J45" s="156"/>
      <c r="K45" s="30"/>
      <c r="L45" s="1538" t="s">
        <v>655</v>
      </c>
      <c r="M45" s="1603" t="str">
        <f>VLOOKUP("NAME",Data!A124:B124,2,FALSE)</f>
        <v>Alpha @ Beta</v>
      </c>
      <c r="N45" s="1603"/>
      <c r="O45" s="1603"/>
      <c r="P45" s="1603"/>
      <c r="Q45" s="1603"/>
      <c r="R45" s="1603"/>
      <c r="S45" s="1603"/>
      <c r="T45" s="1603"/>
      <c r="U45" s="495"/>
      <c r="V45" s="495"/>
      <c r="W45" s="1453" t="s">
        <v>654</v>
      </c>
      <c r="X45" s="1455">
        <f>VLOOKUP("ID",Data!A118:B118,2,FALSE)</f>
        <v>0</v>
      </c>
      <c r="Y45" s="1455"/>
      <c r="Z45" s="1531" t="s">
        <v>764</v>
      </c>
      <c r="AA45" s="1531"/>
      <c r="AB45" s="1531"/>
      <c r="AC45" s="1531"/>
      <c r="AD45" s="1531"/>
      <c r="AE45" s="1531"/>
      <c r="AF45" s="1531"/>
      <c r="AG45" s="1531"/>
      <c r="AH45" s="1532"/>
      <c r="AI45" s="1503" t="s">
        <v>3994</v>
      </c>
      <c r="AJ45" s="1504"/>
      <c r="AK45" s="1504"/>
      <c r="AL45" s="1504"/>
      <c r="AM45" s="1504"/>
      <c r="AN45" s="1505"/>
      <c r="AO45" s="32"/>
      <c r="AP45" s="26"/>
      <c r="AQ45" s="26"/>
      <c r="AR45" s="26"/>
      <c r="AS45" s="26"/>
      <c r="AT45" s="26"/>
      <c r="AU45" s="26"/>
      <c r="AV45" s="26"/>
      <c r="AW45" s="26"/>
      <c r="AX45" s="26"/>
      <c r="AY45" s="24"/>
      <c r="AZ45" s="9"/>
      <c r="BA45" s="10"/>
      <c r="BB45" s="10"/>
      <c r="BC45" s="10"/>
      <c r="BD45" s="10"/>
      <c r="BE45" s="10"/>
      <c r="BF45" s="10"/>
      <c r="BG45" s="10"/>
      <c r="BH45" s="10"/>
    </row>
    <row r="46" spans="1:60" ht="12" customHeight="1" thickBot="1">
      <c r="A46" s="576"/>
      <c r="B46" s="1452"/>
      <c r="C46" s="575"/>
      <c r="D46" s="575"/>
      <c r="E46" s="575"/>
      <c r="F46" s="575"/>
      <c r="G46" s="575"/>
      <c r="H46" s="575"/>
      <c r="I46" s="575"/>
      <c r="J46" s="156"/>
      <c r="K46" s="30"/>
      <c r="L46" s="1539"/>
      <c r="M46" s="1604"/>
      <c r="N46" s="1604"/>
      <c r="O46" s="1604"/>
      <c r="P46" s="1604"/>
      <c r="Q46" s="1604"/>
      <c r="R46" s="1604"/>
      <c r="S46" s="1604"/>
      <c r="T46" s="1604"/>
      <c r="U46" s="496"/>
      <c r="V46" s="496"/>
      <c r="W46" s="1454"/>
      <c r="X46" s="1456"/>
      <c r="Y46" s="1456"/>
      <c r="Z46" s="1533"/>
      <c r="AA46" s="1533"/>
      <c r="AB46" s="1533"/>
      <c r="AC46" s="1533"/>
      <c r="AD46" s="1534"/>
      <c r="AE46" s="1534"/>
      <c r="AF46" s="1534"/>
      <c r="AG46" s="1534"/>
      <c r="AH46" s="1535"/>
      <c r="AI46" s="1506"/>
      <c r="AJ46" s="1507"/>
      <c r="AK46" s="1507"/>
      <c r="AL46" s="1507"/>
      <c r="AM46" s="1507"/>
      <c r="AN46" s="1508"/>
      <c r="AO46" s="32"/>
      <c r="AP46" s="26"/>
      <c r="AQ46" s="26"/>
      <c r="AR46" s="26"/>
      <c r="AS46" s="26"/>
      <c r="AT46" s="26"/>
      <c r="AU46" s="26"/>
      <c r="AV46" s="26"/>
      <c r="AW46" s="26"/>
      <c r="AX46" s="26"/>
      <c r="AY46" s="9"/>
      <c r="AZ46" s="9"/>
      <c r="BA46" s="10"/>
      <c r="BB46" s="10"/>
      <c r="BC46" s="10"/>
      <c r="BD46" s="10"/>
      <c r="BE46" s="10"/>
      <c r="BF46" s="10"/>
      <c r="BG46" s="10"/>
      <c r="BH46" s="10"/>
    </row>
    <row r="47" spans="1:60" ht="12" customHeight="1" thickBot="1">
      <c r="A47" s="574"/>
      <c r="B47" s="1452"/>
      <c r="C47" s="575"/>
      <c r="D47" s="575"/>
      <c r="E47" s="575"/>
      <c r="F47" s="579"/>
      <c r="G47" s="579"/>
      <c r="H47" s="580"/>
      <c r="I47" s="575"/>
      <c r="J47" s="156"/>
      <c r="K47" s="494"/>
      <c r="L47" s="1423" t="s">
        <v>659</v>
      </c>
      <c r="M47" s="1424"/>
      <c r="N47" s="1424"/>
      <c r="O47" s="1425"/>
      <c r="P47" s="1486"/>
      <c r="Q47" s="1487"/>
      <c r="R47" s="1487"/>
      <c r="S47" s="1487"/>
      <c r="T47" s="1487"/>
      <c r="U47" s="1487"/>
      <c r="V47" s="1487"/>
      <c r="W47" s="1487"/>
      <c r="X47" s="1487"/>
      <c r="Y47" s="1423" t="s">
        <v>1073</v>
      </c>
      <c r="Z47" s="1424"/>
      <c r="AA47" s="1424"/>
      <c r="AB47" s="1424"/>
      <c r="AC47" s="1425"/>
      <c r="AD47" s="1599"/>
      <c r="AE47" s="1599"/>
      <c r="AF47" s="1599"/>
      <c r="AG47" s="1599"/>
      <c r="AH47" s="1600"/>
      <c r="AI47" s="1509"/>
      <c r="AJ47" s="1510"/>
      <c r="AK47" s="1510"/>
      <c r="AL47" s="1510"/>
      <c r="AM47" s="1510"/>
      <c r="AN47" s="1511"/>
      <c r="AO47" s="32"/>
      <c r="AP47" s="26"/>
      <c r="AQ47" s="26"/>
      <c r="AR47" s="26"/>
      <c r="AS47" s="26"/>
      <c r="AT47" s="26"/>
      <c r="AU47" s="26"/>
      <c r="AV47" s="26"/>
      <c r="AW47" s="26"/>
      <c r="AX47" s="26"/>
      <c r="AY47" s="9"/>
      <c r="AZ47" s="9"/>
      <c r="BA47" s="10"/>
      <c r="BB47" s="10"/>
      <c r="BC47" s="10"/>
      <c r="BD47" s="10"/>
      <c r="BE47" s="10"/>
      <c r="BF47" s="10"/>
      <c r="BG47" s="10"/>
      <c r="BH47" s="10"/>
    </row>
    <row r="48" spans="1:60" ht="12" customHeight="1">
      <c r="A48" s="576"/>
      <c r="B48" s="1452"/>
      <c r="C48" s="1512" t="s">
        <v>1023</v>
      </c>
      <c r="D48" s="1512"/>
      <c r="E48" s="575"/>
      <c r="F48" s="579"/>
      <c r="G48" s="579"/>
      <c r="H48" s="580"/>
      <c r="I48" s="575"/>
      <c r="J48" s="156"/>
      <c r="K48" s="494"/>
      <c r="L48" s="1426"/>
      <c r="M48" s="1427"/>
      <c r="N48" s="1427"/>
      <c r="O48" s="1428"/>
      <c r="P48" s="1488"/>
      <c r="Q48" s="1489"/>
      <c r="R48" s="1489"/>
      <c r="S48" s="1489"/>
      <c r="T48" s="1489"/>
      <c r="U48" s="1489"/>
      <c r="V48" s="1489"/>
      <c r="W48" s="1489"/>
      <c r="X48" s="1489"/>
      <c r="Y48" s="1426"/>
      <c r="Z48" s="1427"/>
      <c r="AA48" s="1427"/>
      <c r="AB48" s="1427"/>
      <c r="AC48" s="1428"/>
      <c r="AD48" s="1601"/>
      <c r="AE48" s="1601"/>
      <c r="AF48" s="1601"/>
      <c r="AG48" s="1601"/>
      <c r="AH48" s="1602"/>
      <c r="AI48" s="1494" t="s">
        <v>209</v>
      </c>
      <c r="AJ48" s="1495"/>
      <c r="AK48" s="1495"/>
      <c r="AL48" s="1495"/>
      <c r="AM48" s="1495"/>
      <c r="AN48" s="1496"/>
      <c r="AO48" s="32"/>
      <c r="AP48" s="26"/>
      <c r="AQ48" s="26"/>
      <c r="AR48" s="26"/>
      <c r="AS48" s="26"/>
      <c r="AT48" s="26"/>
      <c r="AU48" s="26"/>
      <c r="AV48" s="26"/>
      <c r="AW48" s="26"/>
      <c r="AX48" s="26"/>
      <c r="AY48" s="9"/>
      <c r="AZ48" s="9"/>
      <c r="BA48" s="10"/>
      <c r="BB48" s="10"/>
      <c r="BC48" s="10"/>
      <c r="BD48" s="10"/>
      <c r="BE48" s="10"/>
      <c r="BF48" s="10"/>
      <c r="BG48" s="10"/>
      <c r="BH48" s="10"/>
    </row>
    <row r="49" spans="1:60" ht="12" customHeight="1">
      <c r="A49" s="574"/>
      <c r="B49" s="1452"/>
      <c r="C49" s="575"/>
      <c r="D49" s="575"/>
      <c r="E49" s="577"/>
      <c r="F49" s="579"/>
      <c r="G49" s="579"/>
      <c r="H49" s="580"/>
      <c r="I49" s="575"/>
      <c r="J49" s="156"/>
      <c r="K49" s="494"/>
      <c r="L49" s="1429" t="s">
        <v>1072</v>
      </c>
      <c r="M49" s="1430"/>
      <c r="N49" s="1430"/>
      <c r="O49" s="1431"/>
      <c r="P49" s="1490"/>
      <c r="Q49" s="1491"/>
      <c r="R49" s="1491"/>
      <c r="S49" s="1491"/>
      <c r="T49" s="1491"/>
      <c r="U49" s="1491"/>
      <c r="V49" s="1491"/>
      <c r="W49" s="1491"/>
      <c r="X49" s="1491"/>
      <c r="Y49" s="1429" t="s">
        <v>1063</v>
      </c>
      <c r="Z49" s="1430"/>
      <c r="AA49" s="1430"/>
      <c r="AB49" s="1430"/>
      <c r="AC49" s="1431"/>
      <c r="AD49" s="1470"/>
      <c r="AE49" s="1470"/>
      <c r="AF49" s="1470"/>
      <c r="AG49" s="1470"/>
      <c r="AH49" s="1471"/>
      <c r="AI49" s="1497">
        <f ca="1">TODAY()</f>
        <v>45364</v>
      </c>
      <c r="AJ49" s="1498"/>
      <c r="AK49" s="1498"/>
      <c r="AL49" s="1498"/>
      <c r="AM49" s="1498"/>
      <c r="AN49" s="1499"/>
      <c r="AO49" s="34"/>
      <c r="AP49" s="26"/>
      <c r="AQ49" s="26"/>
      <c r="AR49" s="26"/>
      <c r="AS49" s="26"/>
      <c r="AT49" s="26"/>
      <c r="AU49" s="26"/>
      <c r="AV49" s="26"/>
      <c r="AW49" s="26"/>
      <c r="AX49" s="26"/>
      <c r="AY49" s="9"/>
      <c r="AZ49" s="9"/>
      <c r="BA49" s="10"/>
      <c r="BB49" s="10"/>
      <c r="BC49" s="10"/>
      <c r="BD49" s="10"/>
      <c r="BE49" s="10"/>
      <c r="BF49" s="10"/>
      <c r="BG49" s="10"/>
      <c r="BH49" s="10"/>
    </row>
    <row r="50" spans="1:60" ht="12" customHeight="1" thickBot="1">
      <c r="A50" s="35"/>
      <c r="B50" s="36"/>
      <c r="C50" s="36"/>
      <c r="D50" s="36"/>
      <c r="E50" s="36"/>
      <c r="F50" s="338"/>
      <c r="G50" s="338"/>
      <c r="H50" s="503"/>
      <c r="I50" s="207"/>
      <c r="J50" s="207"/>
      <c r="K50" s="493"/>
      <c r="L50" s="1432"/>
      <c r="M50" s="1433"/>
      <c r="N50" s="1433"/>
      <c r="O50" s="1434"/>
      <c r="P50" s="1492"/>
      <c r="Q50" s="1493"/>
      <c r="R50" s="1493"/>
      <c r="S50" s="1493"/>
      <c r="T50" s="1493"/>
      <c r="U50" s="1493"/>
      <c r="V50" s="1493"/>
      <c r="W50" s="1493"/>
      <c r="X50" s="1493"/>
      <c r="Y50" s="1432"/>
      <c r="Z50" s="1433"/>
      <c r="AA50" s="1433"/>
      <c r="AB50" s="1433"/>
      <c r="AC50" s="1434"/>
      <c r="AD50" s="1472"/>
      <c r="AE50" s="1472"/>
      <c r="AF50" s="1472"/>
      <c r="AG50" s="1472"/>
      <c r="AH50" s="1473"/>
      <c r="AI50" s="1500" t="s">
        <v>210</v>
      </c>
      <c r="AJ50" s="1501"/>
      <c r="AK50" s="1501"/>
      <c r="AL50" s="1501"/>
      <c r="AM50" s="1501"/>
      <c r="AN50" s="1502"/>
      <c r="AO50" s="37"/>
      <c r="AP50" s="18"/>
      <c r="AQ50" s="20"/>
      <c r="AR50" s="17"/>
      <c r="AS50" s="17"/>
      <c r="AT50" s="17"/>
      <c r="AU50" s="21"/>
      <c r="AV50" s="18"/>
      <c r="AW50" s="18"/>
      <c r="AX50" s="18"/>
      <c r="AY50" s="9"/>
      <c r="AZ50" s="9"/>
      <c r="BA50" s="10"/>
      <c r="BB50" s="10"/>
      <c r="BC50" s="10"/>
      <c r="BD50" s="10"/>
      <c r="BE50" s="10"/>
      <c r="BF50" s="10"/>
      <c r="BG50" s="10"/>
      <c r="BH50" s="10"/>
    </row>
    <row r="51" spans="1:60" ht="11.1" customHeight="1">
      <c r="A51" s="203"/>
      <c r="AG51" s="202"/>
      <c r="AH51" s="202"/>
      <c r="AL51" s="39"/>
      <c r="AM51" s="39"/>
      <c r="AN51" s="39"/>
      <c r="AO51" s="40"/>
      <c r="AP51" s="41"/>
      <c r="AQ51" s="26"/>
      <c r="AR51" s="26"/>
      <c r="AS51" s="26"/>
      <c r="AT51" s="26"/>
      <c r="AU51" s="26"/>
      <c r="AV51" s="26"/>
      <c r="AW51" s="26"/>
      <c r="AX51" s="26"/>
    </row>
    <row r="52" spans="1:60" ht="11.1" customHeight="1">
      <c r="A52" s="203"/>
      <c r="AO52" s="42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60" ht="11.1" customHeight="1"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60" ht="11.1" customHeight="1"/>
  </sheetData>
  <sheetProtection selectLockedCells="1" selectUnlockedCells="1"/>
  <mergeCells count="209">
    <mergeCell ref="Q40:V44"/>
    <mergeCell ref="L34:V34"/>
    <mergeCell ref="AE19:AF19"/>
    <mergeCell ref="AE20:AF20"/>
    <mergeCell ref="AE21:AF21"/>
    <mergeCell ref="AE22:AF22"/>
    <mergeCell ref="W22:Y22"/>
    <mergeCell ref="Z22:AA22"/>
    <mergeCell ref="W23:AF25"/>
    <mergeCell ref="W44:X44"/>
    <mergeCell ref="Y44:AB44"/>
    <mergeCell ref="Z38:AA38"/>
    <mergeCell ref="L41:N41"/>
    <mergeCell ref="W17:Y17"/>
    <mergeCell ref="W18:Y18"/>
    <mergeCell ref="W21:Y21"/>
    <mergeCell ref="W28:X28"/>
    <mergeCell ref="W29:X29"/>
    <mergeCell ref="W30:X30"/>
    <mergeCell ref="W31:X31"/>
    <mergeCell ref="W19:Y19"/>
    <mergeCell ref="W20:Y20"/>
    <mergeCell ref="L1:V2"/>
    <mergeCell ref="J1:J2"/>
    <mergeCell ref="K1:K2"/>
    <mergeCell ref="P21:V21"/>
    <mergeCell ref="W1:AF2"/>
    <mergeCell ref="W3:Y3"/>
    <mergeCell ref="Z3:AA3"/>
    <mergeCell ref="AB3:AD3"/>
    <mergeCell ref="AE3:AF3"/>
    <mergeCell ref="Z4:AA4"/>
    <mergeCell ref="AB4:AD4"/>
    <mergeCell ref="AB6:AD6"/>
    <mergeCell ref="AB17:AD17"/>
    <mergeCell ref="AB18:AD18"/>
    <mergeCell ref="AE17:AF17"/>
    <mergeCell ref="AE18:AF18"/>
    <mergeCell ref="Z9:AA9"/>
    <mergeCell ref="AB9:AD9"/>
    <mergeCell ref="AE9:AF9"/>
    <mergeCell ref="Z10:AA10"/>
    <mergeCell ref="AE11:AF11"/>
    <mergeCell ref="Z12:AA12"/>
    <mergeCell ref="AB12:AD12"/>
    <mergeCell ref="AE12:AF12"/>
    <mergeCell ref="Y49:AC50"/>
    <mergeCell ref="AD47:AH48"/>
    <mergeCell ref="M45:T4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L44:N44"/>
    <mergeCell ref="O44:P44"/>
    <mergeCell ref="Q39:R39"/>
    <mergeCell ref="S39:T39"/>
    <mergeCell ref="N33:O33"/>
    <mergeCell ref="N32:O32"/>
    <mergeCell ref="AB19:AD19"/>
    <mergeCell ref="AB20:AD20"/>
    <mergeCell ref="AB21:AD21"/>
    <mergeCell ref="AB22:AD22"/>
    <mergeCell ref="W32:X32"/>
    <mergeCell ref="O36:P36"/>
    <mergeCell ref="AG21:AG22"/>
    <mergeCell ref="AG9:AG10"/>
    <mergeCell ref="Z5:AA5"/>
    <mergeCell ref="AB5:AD5"/>
    <mergeCell ref="AB10:AD10"/>
    <mergeCell ref="AE10:AF10"/>
    <mergeCell ref="AB11:AD11"/>
    <mergeCell ref="AE5:AF5"/>
    <mergeCell ref="Z6:AA6"/>
    <mergeCell ref="AG19:AG20"/>
    <mergeCell ref="AG1:AN6"/>
    <mergeCell ref="AG7:AN7"/>
    <mergeCell ref="AI8:AN8"/>
    <mergeCell ref="AE8:AF8"/>
    <mergeCell ref="Z19:AA19"/>
    <mergeCell ref="Z20:AA20"/>
    <mergeCell ref="Z21:AA21"/>
    <mergeCell ref="AE4:AF4"/>
    <mergeCell ref="AE6:AF6"/>
    <mergeCell ref="Z7:AA7"/>
    <mergeCell ref="AB7:AD7"/>
    <mergeCell ref="AE7:AF7"/>
    <mergeCell ref="Z8:AA8"/>
    <mergeCell ref="AB8:AD8"/>
    <mergeCell ref="W11:Y11"/>
    <mergeCell ref="AG27:AG28"/>
    <mergeCell ref="N28:O28"/>
    <mergeCell ref="N27:O27"/>
    <mergeCell ref="N29:O29"/>
    <mergeCell ref="O40:P40"/>
    <mergeCell ref="O41:P41"/>
    <mergeCell ref="L38:N38"/>
    <mergeCell ref="Q36:R36"/>
    <mergeCell ref="S36:T36"/>
    <mergeCell ref="L37:N37"/>
    <mergeCell ref="L39:N39"/>
    <mergeCell ref="O39:P39"/>
    <mergeCell ref="N31:O31"/>
    <mergeCell ref="AG35:AG36"/>
    <mergeCell ref="Z35:AA35"/>
    <mergeCell ref="AG37:AG38"/>
    <mergeCell ref="L36:N36"/>
    <mergeCell ref="Q38:R38"/>
    <mergeCell ref="S38:T38"/>
    <mergeCell ref="L40:N40"/>
    <mergeCell ref="Z39:AA39"/>
    <mergeCell ref="AB34:AF39"/>
    <mergeCell ref="W41:X41"/>
    <mergeCell ref="AG11:AG12"/>
    <mergeCell ref="AG13:AG14"/>
    <mergeCell ref="AG15:AG16"/>
    <mergeCell ref="AG17:AG18"/>
    <mergeCell ref="AE15:AF15"/>
    <mergeCell ref="Z16:AA16"/>
    <mergeCell ref="AB16:AD16"/>
    <mergeCell ref="AE16:AF16"/>
    <mergeCell ref="Z13:AA13"/>
    <mergeCell ref="AB13:AD13"/>
    <mergeCell ref="AE13:AF13"/>
    <mergeCell ref="Z14:AA14"/>
    <mergeCell ref="AB14:AD14"/>
    <mergeCell ref="AE14:AF14"/>
    <mergeCell ref="Z15:AA15"/>
    <mergeCell ref="AB15:AD15"/>
    <mergeCell ref="Z11:AA11"/>
    <mergeCell ref="Z17:AA17"/>
    <mergeCell ref="Z18:AA18"/>
    <mergeCell ref="C48:D48"/>
    <mergeCell ref="F42:F44"/>
    <mergeCell ref="N26:O26"/>
    <mergeCell ref="N22:O22"/>
    <mergeCell ref="N25:O25"/>
    <mergeCell ref="N24:O24"/>
    <mergeCell ref="N23:O23"/>
    <mergeCell ref="N21:O21"/>
    <mergeCell ref="W26:AF26"/>
    <mergeCell ref="L43:N43"/>
    <mergeCell ref="W42:X42"/>
    <mergeCell ref="W43:X43"/>
    <mergeCell ref="N30:O30"/>
    <mergeCell ref="AC41:AF41"/>
    <mergeCell ref="AC43:AF43"/>
    <mergeCell ref="Z45:AH46"/>
    <mergeCell ref="AG31:AG32"/>
    <mergeCell ref="AG25:AG26"/>
    <mergeCell ref="AG23:AG24"/>
    <mergeCell ref="AG29:AG30"/>
    <mergeCell ref="L45:L46"/>
    <mergeCell ref="AG33:AG34"/>
    <mergeCell ref="Y47:AC48"/>
    <mergeCell ref="X38:Y38"/>
    <mergeCell ref="X45:Y46"/>
    <mergeCell ref="AG44:AI44"/>
    <mergeCell ref="AG43:AI43"/>
    <mergeCell ref="L35:N35"/>
    <mergeCell ref="O35:P35"/>
    <mergeCell ref="Q35:R35"/>
    <mergeCell ref="S35:T35"/>
    <mergeCell ref="AD49:AH50"/>
    <mergeCell ref="AG39:AG40"/>
    <mergeCell ref="Z36:AA36"/>
    <mergeCell ref="X35:Y35"/>
    <mergeCell ref="X36:Y36"/>
    <mergeCell ref="X37:Y37"/>
    <mergeCell ref="Z37:AA37"/>
    <mergeCell ref="O37:P37"/>
    <mergeCell ref="Q37:R37"/>
    <mergeCell ref="S37:T37"/>
    <mergeCell ref="O38:P38"/>
    <mergeCell ref="P47:X48"/>
    <mergeCell ref="P49:X50"/>
    <mergeCell ref="AI48:AN48"/>
    <mergeCell ref="AI49:AN49"/>
    <mergeCell ref="AI50:AN50"/>
    <mergeCell ref="AI45:AN47"/>
    <mergeCell ref="B40:C40"/>
    <mergeCell ref="L20:V20"/>
    <mergeCell ref="W33:X33"/>
    <mergeCell ref="X39:Y39"/>
    <mergeCell ref="W34:AA34"/>
    <mergeCell ref="L47:O48"/>
    <mergeCell ref="L49:O50"/>
    <mergeCell ref="W4:Y4"/>
    <mergeCell ref="W5:Y5"/>
    <mergeCell ref="W6:Y6"/>
    <mergeCell ref="W10:Y10"/>
    <mergeCell ref="W12:Y12"/>
    <mergeCell ref="W13:Y13"/>
    <mergeCell ref="W14:Y14"/>
    <mergeCell ref="W15:Y15"/>
    <mergeCell ref="W16:Y16"/>
    <mergeCell ref="W7:Y7"/>
    <mergeCell ref="W8:Y8"/>
    <mergeCell ref="W9:Y9"/>
    <mergeCell ref="O43:P43"/>
    <mergeCell ref="L42:N42"/>
    <mergeCell ref="O42:P42"/>
    <mergeCell ref="B42:B49"/>
    <mergeCell ref="W45:W46"/>
  </mergeCells>
  <conditionalFormatting sqref="L7:L16 L3:L5 AQ50:AW50 F3:K3 L18:L19 A50 C3:C23 D3:E22 A3:B38 B7:E21 AR8:AR12 AR14:AR37 AS6:AS33 AS35:AW37 AR6 AT6:AT19 AU6:AW15 M21:M31 F22:K22 B5:K7 C4:K21 B23:K38 L10:V17 AP6:AQ37 M3:V16">
    <cfRule type="cellIs" dxfId="58" priority="22" stopIfTrue="1" operator="equal">
      <formula>0</formula>
    </cfRule>
  </conditionalFormatting>
  <conditionalFormatting sqref="F23:K38 F4:K21">
    <cfRule type="cellIs" dxfId="57" priority="21" stopIfTrue="1" operator="equal">
      <formula>0</formula>
    </cfRule>
  </conditionalFormatting>
  <conditionalFormatting sqref="M33">
    <cfRule type="cellIs" dxfId="56" priority="3" stopIfTrue="1" operator="equal">
      <formula>0</formula>
    </cfRule>
  </conditionalFormatting>
  <conditionalFormatting sqref="M32">
    <cfRule type="cellIs" dxfId="55" priority="2" stopIfTrue="1" operator="equal">
      <formula>0</formula>
    </cfRule>
  </conditionalFormatting>
  <conditionalFormatting sqref="L21">
    <cfRule type="cellIs" dxfId="54" priority="1" stopIfTrue="1" operator="equal">
      <formula>0</formula>
    </cfRule>
  </conditionalFormatting>
  <printOptions horizontalCentered="1" verticalCentered="1"/>
  <pageMargins left="0" right="0" top="0.12" bottom="0.12" header="0" footer="0"/>
  <pageSetup scale="92" orientation="landscape" horizontalDpi="525" verticalDpi="52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4"/>
    <pageSetUpPr fitToPage="1"/>
  </sheetPr>
  <dimension ref="A1:AL50"/>
  <sheetViews>
    <sheetView view="pageBreakPreview" zoomScaleNormal="100" zoomScaleSheetLayoutView="100" workbookViewId="0">
      <selection activeCell="T42" sqref="T42"/>
    </sheetView>
  </sheetViews>
  <sheetFormatPr defaultColWidth="9.109375" defaultRowHeight="21.9" customHeight="1"/>
  <cols>
    <col min="1" max="1" width="3.33203125" style="128" customWidth="1"/>
    <col min="2" max="2" width="15.88671875" style="128" customWidth="1"/>
    <col min="3" max="4" width="2.88671875" style="120" customWidth="1"/>
    <col min="5" max="5" width="3" style="120" hidden="1" customWidth="1"/>
    <col min="6" max="6" width="3.109375" style="120" customWidth="1"/>
    <col min="7" max="10" width="3.44140625" style="120" customWidth="1"/>
    <col min="11" max="11" width="3.33203125" style="120" customWidth="1"/>
    <col min="12" max="12" width="3.5546875" style="120" customWidth="1"/>
    <col min="13" max="19" width="3.44140625" style="120" customWidth="1"/>
    <col min="20" max="20" width="2.88671875" style="120" customWidth="1"/>
    <col min="21" max="22" width="3" style="120" customWidth="1"/>
    <col min="23" max="23" width="3.44140625" style="120" customWidth="1"/>
    <col min="24" max="32" width="3.6640625" style="120" customWidth="1"/>
    <col min="33" max="42" width="3.44140625" style="120" customWidth="1"/>
    <col min="43" max="16384" width="9.109375" style="120"/>
  </cols>
  <sheetData>
    <row r="1" spans="1:38" ht="12" customHeight="1">
      <c r="A1" s="245" t="s">
        <v>304</v>
      </c>
      <c r="B1" s="246" t="s">
        <v>358</v>
      </c>
      <c r="C1" s="246" t="s">
        <v>359</v>
      </c>
      <c r="D1" s="247" t="s">
        <v>360</v>
      </c>
      <c r="E1" s="244"/>
      <c r="F1" s="970" t="s">
        <v>3978</v>
      </c>
      <c r="G1" s="971"/>
      <c r="H1" s="972"/>
      <c r="I1" s="972"/>
      <c r="J1" s="972"/>
      <c r="K1" s="972"/>
      <c r="L1" s="2603" t="s">
        <v>760</v>
      </c>
      <c r="M1" s="2603"/>
      <c r="N1" s="972"/>
      <c r="O1" s="972"/>
      <c r="P1" s="972"/>
      <c r="Q1" s="2598" t="s">
        <v>3755</v>
      </c>
      <c r="R1" s="2599"/>
      <c r="S1" s="2599"/>
      <c r="T1" s="2600"/>
      <c r="U1" s="972"/>
      <c r="V1" s="2557"/>
      <c r="W1" s="972"/>
      <c r="X1" s="2564" t="s">
        <v>3766</v>
      </c>
      <c r="Y1" s="2565"/>
      <c r="Z1" s="2565"/>
      <c r="AA1" s="2565"/>
      <c r="AB1" s="2565"/>
      <c r="AC1" s="2565"/>
      <c r="AD1" s="2565"/>
      <c r="AE1" s="2565"/>
      <c r="AF1" s="2566"/>
      <c r="AG1" s="972"/>
      <c r="AH1" s="972"/>
      <c r="AI1" s="972"/>
      <c r="AJ1" s="972"/>
      <c r="AK1" s="972"/>
      <c r="AL1" s="973"/>
    </row>
    <row r="2" spans="1:38" ht="12" customHeight="1">
      <c r="A2" s="63">
        <v>1</v>
      </c>
      <c r="B2" s="50" t="s">
        <v>361</v>
      </c>
      <c r="C2" s="952" t="s">
        <v>34</v>
      </c>
      <c r="D2" s="955" t="s">
        <v>34</v>
      </c>
      <c r="E2" s="97"/>
      <c r="F2" s="45"/>
      <c r="G2" s="2591" t="s">
        <v>112</v>
      </c>
      <c r="H2" s="2591"/>
      <c r="I2" s="2591"/>
      <c r="J2" s="2592" t="str">
        <f>IF(VLOOKUP("Enable",Data!$A$1863:$E$1863,2,FALSE)="","TRANS",VLOOKUP("Enable",Data!$A$1863:$E$1863,2,FALSE))</f>
        <v>TRANS</v>
      </c>
      <c r="K2" s="2593">
        <f>VLOOKUP("PH/OLP #",Data!$A:$Y,2,FALSE)</f>
        <v>1</v>
      </c>
      <c r="L2" s="2591" t="s">
        <v>3753</v>
      </c>
      <c r="M2" s="2591"/>
      <c r="N2" s="2591"/>
      <c r="O2" s="2592">
        <f>VLOOKUP("Min",Data!$A$1870:$E$1870,2,FALSE)</f>
        <v>0</v>
      </c>
      <c r="P2" s="2593">
        <f>VLOOKUP("PH/OLP #",Data!$A:$Y,2,FALSE)</f>
        <v>1</v>
      </c>
      <c r="Q2" s="1335">
        <f>VLOOKUP("Priority P1",Data!$A$1872:$E$1872,2,FALSE)</f>
        <v>0</v>
      </c>
      <c r="R2" s="1335">
        <f>VLOOKUP("Priority P2",Data!$A$1873:$E$1873,2,FALSE)</f>
        <v>0</v>
      </c>
      <c r="S2" s="1335">
        <f>VLOOKUP("Priority P3",Data!$A$1874:$E$1874,2,FALSE)</f>
        <v>0</v>
      </c>
      <c r="T2" s="1335">
        <f>VLOOKUP("Priority P4",Data!$A$1875:$Y$1875,2,FALSE)</f>
        <v>0</v>
      </c>
      <c r="U2" s="2601"/>
      <c r="V2" s="1577"/>
      <c r="W2" s="45"/>
      <c r="X2" s="555"/>
      <c r="Y2" s="553">
        <v>1</v>
      </c>
      <c r="Z2" s="553">
        <v>2</v>
      </c>
      <c r="AA2" s="553">
        <v>3</v>
      </c>
      <c r="AB2" s="553">
        <v>4</v>
      </c>
      <c r="AC2" s="553">
        <v>5</v>
      </c>
      <c r="AD2" s="553">
        <v>6</v>
      </c>
      <c r="AE2" s="553">
        <v>7</v>
      </c>
      <c r="AF2" s="556">
        <v>8</v>
      </c>
      <c r="AG2" s="45"/>
      <c r="AH2" s="45"/>
      <c r="AI2" s="45"/>
      <c r="AJ2" s="45"/>
      <c r="AK2" s="45"/>
      <c r="AL2" s="974"/>
    </row>
    <row r="3" spans="1:38" ht="12" customHeight="1">
      <c r="A3" s="63">
        <v>2</v>
      </c>
      <c r="B3" s="50" t="s">
        <v>362</v>
      </c>
      <c r="C3" s="952" t="s">
        <v>34</v>
      </c>
      <c r="D3" s="955" t="s">
        <v>34</v>
      </c>
      <c r="E3" s="97"/>
      <c r="F3" s="45"/>
      <c r="G3" s="2591" t="s">
        <v>3752</v>
      </c>
      <c r="H3" s="2591"/>
      <c r="I3" s="2591"/>
      <c r="J3" s="2592" t="str">
        <f>VLOOKUP("Coord in Preempt",Data!$A$1862:$E$1862,2,FALSE)</f>
        <v>OFF</v>
      </c>
      <c r="K3" s="2593">
        <f>VLOOKUP("PH/OLP #",Data!$A:$Y,2,FALSE)</f>
        <v>1</v>
      </c>
      <c r="L3" s="2591" t="s">
        <v>23</v>
      </c>
      <c r="M3" s="2591"/>
      <c r="N3" s="2591"/>
      <c r="O3" s="2592">
        <f>VLOOKUP("Max",Data!$A$1869:$E$1869,2,FALSE)</f>
        <v>0</v>
      </c>
      <c r="P3" s="2593">
        <f>VLOOKUP("PH/OLP #",Data!$A:$Y,2,FALSE)</f>
        <v>1</v>
      </c>
      <c r="Q3" s="2596" t="s">
        <v>3756</v>
      </c>
      <c r="R3" s="2597"/>
      <c r="S3" s="2597"/>
      <c r="T3" s="2597"/>
      <c r="U3" s="2602"/>
      <c r="V3" s="1577"/>
      <c r="W3" s="45"/>
      <c r="X3" s="557">
        <v>1</v>
      </c>
      <c r="Y3" s="922">
        <f>VLOOKUP("Pin 1",Data!$A$212:$I$222,2,FALSE)</f>
        <v>2</v>
      </c>
      <c r="Z3" s="923">
        <f>VLOOKUP("Pin 2",Data!$A$212:$I$222,2,FALSE)</f>
        <v>16</v>
      </c>
      <c r="AA3" s="923">
        <f>VLOOKUP("Pin 3",Data!$A$212:$I$222,2,FALSE)</f>
        <v>8</v>
      </c>
      <c r="AB3" s="923">
        <f>VLOOKUP("Pin 4",Data!$A$212:$I$222,2,FALSE)</f>
        <v>22</v>
      </c>
      <c r="AC3" s="923">
        <f>VLOOKUP("Pin 5",Data!$A$212:$I$222,2,FALSE)</f>
        <v>3</v>
      </c>
      <c r="AD3" s="923">
        <f>VLOOKUP("Pin 6",Data!$A$212:$I$222,2,FALSE)</f>
        <v>17</v>
      </c>
      <c r="AE3" s="923">
        <f>VLOOKUP("Pin 7",Data!$A$212:$I$222,2,FALSE)</f>
        <v>9</v>
      </c>
      <c r="AF3" s="924">
        <f>VLOOKUP("Pin 8",Data!$A$212:$I$222,2,FALSE)</f>
        <v>23</v>
      </c>
      <c r="AG3" s="45"/>
      <c r="AH3" s="45"/>
      <c r="AI3" s="45"/>
      <c r="AJ3" s="45"/>
      <c r="AK3" s="45"/>
      <c r="AL3" s="974"/>
    </row>
    <row r="4" spans="1:38" ht="12" customHeight="1">
      <c r="A4" s="63">
        <v>3</v>
      </c>
      <c r="B4" s="50" t="s">
        <v>363</v>
      </c>
      <c r="C4" s="952" t="str">
        <f>IF(VLOOKUP("Event Enable",Data!$A:$DY,4,FALSE)="On", "X", "-")</f>
        <v>-</v>
      </c>
      <c r="D4" s="955" t="str">
        <f>IF(VLOOKUP("Alarm Enable",Data!$A:$DY,4,FALSE)="On", "X", "-")</f>
        <v>-</v>
      </c>
      <c r="E4" s="97"/>
      <c r="F4" s="45"/>
      <c r="G4" s="2591" t="s">
        <v>2726</v>
      </c>
      <c r="H4" s="2591"/>
      <c r="I4" s="2591"/>
      <c r="J4" s="2592" t="str">
        <f>VLOOKUP("Lock Mode",Data!$A$1868:$E$1868,2,FALSE)</f>
        <v>MAX</v>
      </c>
      <c r="K4" s="2593">
        <f>VLOOKUP("PH/OLP #",Data!$A:$Y,2,FALSE)</f>
        <v>1</v>
      </c>
      <c r="L4" s="2591" t="s">
        <v>259</v>
      </c>
      <c r="M4" s="2591"/>
      <c r="N4" s="2591"/>
      <c r="O4" s="2592">
        <f>VLOOKUP("Lock",Data!$A$1867:$E$1867,2,FALSE)</f>
        <v>0</v>
      </c>
      <c r="P4" s="2593">
        <f>VLOOKUP("PH/OLP #",Data!$A:$Y,2,FALSE)</f>
        <v>1</v>
      </c>
      <c r="Q4" s="2591" t="s">
        <v>2725</v>
      </c>
      <c r="R4" s="2591"/>
      <c r="S4" s="2591"/>
      <c r="T4" s="2592">
        <f>VLOOKUP("Headway",Data!$A$1866:$E$1866,2,FALSE)</f>
        <v>0</v>
      </c>
      <c r="U4" s="2593">
        <f>VLOOKUP("PH/OLP #",Data!$A:$Y,2,FALSE)</f>
        <v>1</v>
      </c>
      <c r="V4" s="1577"/>
      <c r="W4" s="45"/>
      <c r="X4" s="557">
        <v>2</v>
      </c>
      <c r="Y4" s="928">
        <f>VLOOKUP("Pin 1",Data!$A$212:$I$222,3,FALSE)</f>
        <v>6</v>
      </c>
      <c r="Z4" s="929">
        <f>VLOOKUP("Pin 2",Data!$A$212:$I$222,3,FALSE)</f>
        <v>20</v>
      </c>
      <c r="AA4" s="929">
        <f>VLOOKUP("Pin 3",Data!$A$212:$I$222,3,FALSE)</f>
        <v>12</v>
      </c>
      <c r="AB4" s="929">
        <f>VLOOKUP("Pin 4",Data!$A$212:$I$222,3,FALSE)</f>
        <v>26</v>
      </c>
      <c r="AC4" s="929">
        <f>VLOOKUP("Pin 5",Data!$A$212:$I$222,3,FALSE)</f>
        <v>198</v>
      </c>
      <c r="AD4" s="929">
        <f>VLOOKUP("Pin 6",Data!$A$212:$I$222,3,FALSE)</f>
        <v>199</v>
      </c>
      <c r="AE4" s="929">
        <f>VLOOKUP("Pin 7",Data!$A$212:$I$222,3,FALSE)</f>
        <v>30</v>
      </c>
      <c r="AF4" s="930">
        <f>VLOOKUP("Pin 8",Data!$A$212:$I$222,3,FALSE)</f>
        <v>31</v>
      </c>
      <c r="AG4" s="45"/>
      <c r="AH4" s="45"/>
      <c r="AI4" s="45"/>
      <c r="AJ4" s="45"/>
      <c r="AK4" s="45"/>
      <c r="AL4" s="974"/>
    </row>
    <row r="5" spans="1:38" ht="12" customHeight="1">
      <c r="A5" s="87">
        <v>4</v>
      </c>
      <c r="B5" s="121" t="s">
        <v>364</v>
      </c>
      <c r="C5" s="952" t="s">
        <v>34</v>
      </c>
      <c r="D5" s="955" t="s">
        <v>34</v>
      </c>
      <c r="E5" s="97"/>
      <c r="F5" s="45"/>
      <c r="G5" s="2591" t="s">
        <v>2727</v>
      </c>
      <c r="H5" s="2591"/>
      <c r="I5" s="2591"/>
      <c r="J5" s="2592" t="str">
        <f>VLOOKUP("No Skip",Data!$A$1871:$E$1871,2,FALSE)</f>
        <v>OFF</v>
      </c>
      <c r="K5" s="2593">
        <f>VLOOKUP("PH/OLP #",Data!$A:$Y,2,FALSE)</f>
        <v>1</v>
      </c>
      <c r="L5" s="2591" t="s">
        <v>2721</v>
      </c>
      <c r="M5" s="2591"/>
      <c r="N5" s="2591"/>
      <c r="O5" s="2592">
        <f>VLOOKUP("Alt Table",Data!$A$1861:$E$1861,2,FALSE)</f>
        <v>0</v>
      </c>
      <c r="P5" s="2593">
        <f>VLOOKUP("PH/OLP #",Data!$A:$Y,2,FALSE)</f>
        <v>1</v>
      </c>
      <c r="Q5" s="2591" t="s">
        <v>3757</v>
      </c>
      <c r="R5" s="2591"/>
      <c r="S5" s="2591"/>
      <c r="T5" s="2592" t="str">
        <f>VLOOKUP("Group Lock",Data!$A$1865:$E$1865,2,FALSE)</f>
        <v>ON</v>
      </c>
      <c r="U5" s="2593">
        <f>VLOOKUP("PH/OLP #",Data!$A:$Y,2,FALSE)</f>
        <v>1</v>
      </c>
      <c r="V5" s="1577"/>
      <c r="W5" s="45"/>
      <c r="X5" s="557">
        <v>3</v>
      </c>
      <c r="Y5" s="925">
        <f>VLOOKUP("Pin 1",Data!$A$212:$I$222,4,FALSE)</f>
        <v>15</v>
      </c>
      <c r="Z5" s="926">
        <f>VLOOKUP("Pin 2",Data!$A$212:$I$222,4,FALSE)</f>
        <v>1</v>
      </c>
      <c r="AA5" s="926">
        <f>VLOOKUP("Pin 3",Data!$A$212:$I$222,4,FALSE)</f>
        <v>21</v>
      </c>
      <c r="AB5" s="926">
        <f>VLOOKUP("Pin 4",Data!$A$212:$I$222,4,FALSE)</f>
        <v>7</v>
      </c>
      <c r="AC5" s="926">
        <f>VLOOKUP("Pin 5",Data!$A$212:$I$222,4,FALSE)</f>
        <v>27</v>
      </c>
      <c r="AD5" s="926">
        <f>VLOOKUP("Pin 6",Data!$A$212:$I$222,4,FALSE)</f>
        <v>13</v>
      </c>
      <c r="AE5" s="926">
        <f>VLOOKUP("Pin 7",Data!$A$212:$I$222,4,FALSE)</f>
        <v>28</v>
      </c>
      <c r="AF5" s="927">
        <f>VLOOKUP("Pin 8",Data!$A$212:$I$222,4,FALSE)</f>
        <v>14</v>
      </c>
      <c r="AG5" s="45"/>
      <c r="AH5" s="45"/>
      <c r="AI5" s="45"/>
      <c r="AJ5" s="45"/>
      <c r="AK5" s="45"/>
      <c r="AL5" s="974"/>
    </row>
    <row r="6" spans="1:38" ht="12" customHeight="1">
      <c r="A6" s="63">
        <v>5</v>
      </c>
      <c r="B6" s="50" t="s">
        <v>365</v>
      </c>
      <c r="C6" s="952" t="str">
        <f>IF(VLOOKUP("Event Enable",Data!$A:$DY,6,FALSE)="On", "X", "-")</f>
        <v>-</v>
      </c>
      <c r="D6" s="955" t="str">
        <f>IF(VLOOKUP("Alarm Enable",Data!$A:$DY,6,FALSE)="On", "X", "-")</f>
        <v>-</v>
      </c>
      <c r="E6" s="97"/>
      <c r="F6" s="45"/>
      <c r="G6" s="2591" t="s">
        <v>759</v>
      </c>
      <c r="H6" s="2591"/>
      <c r="I6" s="2591"/>
      <c r="J6" s="2592" t="str">
        <f>VLOOKUP("Queue Jump",Data!$A$1876:$E$1876,2,FALSE)</f>
        <v>OFF</v>
      </c>
      <c r="K6" s="2593">
        <f>VLOOKUP("PH/OLP #",Data!$A:$Y,2,FALSE)</f>
        <v>1</v>
      </c>
      <c r="L6" s="2591" t="s">
        <v>3754</v>
      </c>
      <c r="M6" s="2591"/>
      <c r="N6" s="2591"/>
      <c r="O6" s="2594" t="e">
        <f>VLOOKUP("Hold Dwell",Data!$A$1710:$E$1728,2,FALSE)</f>
        <v>#N/A</v>
      </c>
      <c r="P6" s="2595">
        <f>VLOOKUP("PH/OLP #",Data!$A:$Y,2,FALSE)</f>
        <v>1</v>
      </c>
      <c r="Q6" s="2591" t="s">
        <v>3758</v>
      </c>
      <c r="R6" s="2591"/>
      <c r="S6" s="2591"/>
      <c r="T6" s="2592" t="str">
        <f>VLOOKUP("Free Mode",Data!$A$1864:$E$1864,2,FALSE)</f>
        <v>ON</v>
      </c>
      <c r="U6" s="2593">
        <f>VLOOKUP("PH/OLP #",Data!$A:$Y,2,FALSE)</f>
        <v>1</v>
      </c>
      <c r="V6" s="1577"/>
      <c r="W6" s="45"/>
      <c r="X6" s="557">
        <v>4</v>
      </c>
      <c r="Y6" s="928">
        <f>VLOOKUP("Pin 1",Data!$A$212:$I$222,5,FALSE)</f>
        <v>189</v>
      </c>
      <c r="Z6" s="929">
        <f>VLOOKUP("Pin 2",Data!$A$212:$I$222,5,FALSE)</f>
        <v>189</v>
      </c>
      <c r="AA6" s="929">
        <f>VLOOKUP("Pin 3",Data!$A$212:$I$222,5,FALSE)</f>
        <v>189</v>
      </c>
      <c r="AB6" s="929">
        <f>VLOOKUP("Pin 4",Data!$A$212:$I$222,5,FALSE)</f>
        <v>189</v>
      </c>
      <c r="AC6" s="929">
        <f>VLOOKUP("Pin 5",Data!$A$212:$I$222,5,FALSE)</f>
        <v>4</v>
      </c>
      <c r="AD6" s="929">
        <f>VLOOKUP("Pin 6",Data!$A$212:$I$222,5,FALSE)</f>
        <v>18</v>
      </c>
      <c r="AE6" s="929">
        <f>VLOOKUP("Pin 7",Data!$A$212:$I$222,5,FALSE)</f>
        <v>10</v>
      </c>
      <c r="AF6" s="930">
        <f>VLOOKUP("Pin 8",Data!$A$212:$I$222,5,FALSE)</f>
        <v>24</v>
      </c>
      <c r="AG6" s="45"/>
      <c r="AH6" s="45"/>
      <c r="AI6" s="45"/>
      <c r="AJ6" s="45"/>
      <c r="AK6" s="45"/>
      <c r="AL6" s="974"/>
    </row>
    <row r="7" spans="1:38" ht="12" customHeight="1">
      <c r="A7" s="63">
        <v>6</v>
      </c>
      <c r="B7" s="50" t="s">
        <v>366</v>
      </c>
      <c r="C7" s="952" t="str">
        <f>IF(VLOOKUP("Event Enable",Data!$A:$DY,7,FALSE)="On", "X", "-")</f>
        <v>-</v>
      </c>
      <c r="D7" s="955" t="str">
        <f>IF(VLOOKUP("Alarm Enable",Data!$A:$DY,7,FALSE)="On", "X", "-")</f>
        <v>-</v>
      </c>
      <c r="E7" s="9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577"/>
      <c r="W7" s="45"/>
      <c r="X7" s="557">
        <v>5</v>
      </c>
      <c r="Y7" s="925">
        <f>VLOOKUP("Pin 1",Data!$A$212:$I$222,6,FALSE)</f>
        <v>130</v>
      </c>
      <c r="Z7" s="926">
        <f>VLOOKUP("Pin 2",Data!$A$212:$I$222,6,FALSE)</f>
        <v>134</v>
      </c>
      <c r="AA7" s="926">
        <f>VLOOKUP("Pin 3",Data!$A$212:$I$222,6,FALSE)</f>
        <v>132</v>
      </c>
      <c r="AB7" s="926">
        <f>VLOOKUP("Pin 4",Data!$A$212:$I$222,6,FALSE)</f>
        <v>136</v>
      </c>
      <c r="AC7" s="926">
        <f>VLOOKUP("Pin 5",Data!$A$212:$I$222,6,FALSE)</f>
        <v>200</v>
      </c>
      <c r="AD7" s="926">
        <f>VLOOKUP("Pin 6",Data!$A$212:$I$222,6,FALSE)</f>
        <v>201</v>
      </c>
      <c r="AE7" s="926">
        <f>VLOOKUP("Pin 7",Data!$A$212:$I$222,6,FALSE)</f>
        <v>202</v>
      </c>
      <c r="AF7" s="927">
        <f>VLOOKUP("Pin 8",Data!$A$212:$I$222,6,FALSE)</f>
        <v>203</v>
      </c>
      <c r="AG7" s="45"/>
      <c r="AH7" s="45"/>
      <c r="AI7" s="45"/>
      <c r="AJ7" s="45"/>
      <c r="AK7" s="45"/>
      <c r="AL7" s="974"/>
    </row>
    <row r="8" spans="1:38" ht="12" customHeight="1">
      <c r="A8" s="63">
        <v>7</v>
      </c>
      <c r="B8" s="50" t="s">
        <v>367</v>
      </c>
      <c r="C8" s="952" t="str">
        <f>IF(VLOOKUP("Event Enable",Data!$A:$DY,8,FALSE)="On", "X", "-")</f>
        <v>-</v>
      </c>
      <c r="D8" s="955" t="str">
        <f>IF(VLOOKUP("Alarm Enable",Data!$A:$DY,8,FALSE)="On", "X", "-")</f>
        <v>-</v>
      </c>
      <c r="E8" s="97"/>
      <c r="F8" s="975" t="s">
        <v>3979</v>
      </c>
      <c r="G8" s="45"/>
      <c r="H8" s="45"/>
      <c r="I8" s="45"/>
      <c r="J8" s="45"/>
      <c r="K8" s="45"/>
      <c r="L8" s="2607" t="s">
        <v>760</v>
      </c>
      <c r="M8" s="2607"/>
      <c r="N8" s="45"/>
      <c r="O8" s="45"/>
      <c r="P8" s="45"/>
      <c r="Q8" s="2608" t="s">
        <v>3755</v>
      </c>
      <c r="R8" s="2609"/>
      <c r="S8" s="2609"/>
      <c r="T8" s="2610"/>
      <c r="U8" s="45"/>
      <c r="V8" s="1577"/>
      <c r="W8" s="45"/>
      <c r="X8" s="557">
        <v>6</v>
      </c>
      <c r="Y8" s="928">
        <f>VLOOKUP("Pin 1",Data!$A$212:$I$222,7,FALSE)</f>
        <v>32</v>
      </c>
      <c r="Z8" s="929">
        <f>VLOOKUP("Pin 2",Data!$A$212:$I$222,7,FALSE)</f>
        <v>5</v>
      </c>
      <c r="AA8" s="929">
        <f>VLOOKUP("Pin 3",Data!$A$212:$I$222,7,FALSE)</f>
        <v>19</v>
      </c>
      <c r="AB8" s="929">
        <f>VLOOKUP("Pin 4",Data!$A$212:$I$222,7,FALSE)</f>
        <v>11</v>
      </c>
      <c r="AC8" s="929">
        <f>VLOOKUP("Pin 5",Data!$A$212:$I$222,7,FALSE)</f>
        <v>25</v>
      </c>
      <c r="AD8" s="929">
        <f>VLOOKUP("Pin 6",Data!$A$212:$I$222,7,FALSE)</f>
        <v>29</v>
      </c>
      <c r="AE8" s="929">
        <f>VLOOKUP("Pin 7",Data!$A$212:$I$222,7,FALSE)</f>
        <v>208</v>
      </c>
      <c r="AF8" s="930">
        <f>VLOOKUP("Pin 8",Data!$A$212:$I$222,7,FALSE)</f>
        <v>207</v>
      </c>
      <c r="AG8" s="45"/>
      <c r="AH8" s="45"/>
      <c r="AI8" s="45"/>
      <c r="AJ8" s="45"/>
      <c r="AK8" s="45"/>
      <c r="AL8" s="974"/>
    </row>
    <row r="9" spans="1:38" ht="12" customHeight="1">
      <c r="A9" s="63">
        <v>8</v>
      </c>
      <c r="B9" s="50" t="s">
        <v>368</v>
      </c>
      <c r="C9" s="952" t="str">
        <f>IF(VLOOKUP("Event Enable",Data!$A:$DY,9,FALSE)="On", "X", "-")</f>
        <v>-</v>
      </c>
      <c r="D9" s="955" t="str">
        <f>IF(VLOOKUP("Alarm Enable",Data!$A:$DY,9,FALSE)="On", "X", "-")</f>
        <v>-</v>
      </c>
      <c r="E9" s="97"/>
      <c r="F9" s="45"/>
      <c r="G9" s="2591" t="s">
        <v>112</v>
      </c>
      <c r="H9" s="2591"/>
      <c r="I9" s="2591"/>
      <c r="J9" s="2592" t="str">
        <f>IF(VLOOKUP("Enable",Data!$A$1863:$E$1863,3,FALSE)="","TRANS",VLOOKUP("Enable",Data!$A$1863:$E$1863,3,FALSE))</f>
        <v>OFF</v>
      </c>
      <c r="K9" s="2593">
        <f>VLOOKUP("PH/OLP #",Data!$A:$Y,2,FALSE)</f>
        <v>1</v>
      </c>
      <c r="L9" s="2591" t="s">
        <v>3753</v>
      </c>
      <c r="M9" s="2591"/>
      <c r="N9" s="2591"/>
      <c r="O9" s="2592">
        <f>VLOOKUP("Min",Data!$A$1870:$E$1870,3,FALSE)</f>
        <v>0</v>
      </c>
      <c r="P9" s="2593">
        <f>VLOOKUP("PH/OLP #",Data!$A:$Y,2,FALSE)</f>
        <v>1</v>
      </c>
      <c r="Q9" s="1335">
        <f>VLOOKUP("Priority P1",Data!$A$1872:$E$1872,3,FALSE)</f>
        <v>0</v>
      </c>
      <c r="R9" s="1335">
        <f>VLOOKUP("Priority P2",Data!$A$1873:$E$1873,3,FALSE)</f>
        <v>0</v>
      </c>
      <c r="S9" s="1335">
        <f>VLOOKUP("Priority P3",Data!$A$1874:$E$1874,3,FALSE)</f>
        <v>0</v>
      </c>
      <c r="T9" s="1335">
        <f>VLOOKUP("Priority P4",Data!$A$1875:$Y$1875,3,FALSE)</f>
        <v>0</v>
      </c>
      <c r="U9" s="2601"/>
      <c r="V9" s="1577"/>
      <c r="W9" s="45"/>
      <c r="X9" s="557">
        <v>7</v>
      </c>
      <c r="Y9" s="925">
        <f>VLOOKUP("Pin 1",Data!$A$212:$I$222,8,FALSE)</f>
        <v>33</v>
      </c>
      <c r="Z9" s="926">
        <f>VLOOKUP("Pin 2",Data!$A$212:$I$222,8,FALSE)</f>
        <v>34</v>
      </c>
      <c r="AA9" s="926">
        <f>VLOOKUP("Pin 3",Data!$A$212:$I$222,8,FALSE)</f>
        <v>35</v>
      </c>
      <c r="AB9" s="926">
        <f>VLOOKUP("Pin 4",Data!$A$212:$I$222,8,FALSE)</f>
        <v>36</v>
      </c>
      <c r="AC9" s="926">
        <f>VLOOKUP("Pin 5",Data!$A$212:$I$222,8,FALSE)</f>
        <v>37</v>
      </c>
      <c r="AD9" s="926">
        <f>VLOOKUP("Pin 6",Data!$A$212:$I$222,8,FALSE)</f>
        <v>38</v>
      </c>
      <c r="AE9" s="926">
        <f>VLOOKUP("Pin 7",Data!$A$212:$I$222,8,FALSE)</f>
        <v>39</v>
      </c>
      <c r="AF9" s="927">
        <f>VLOOKUP("Pin 8",Data!$A$212:$I$222,8,FALSE)</f>
        <v>40</v>
      </c>
      <c r="AG9" s="45"/>
      <c r="AH9" s="45"/>
      <c r="AI9" s="45"/>
      <c r="AJ9" s="45"/>
      <c r="AK9" s="45"/>
      <c r="AL9" s="974"/>
    </row>
    <row r="10" spans="1:38" ht="12" customHeight="1" thickBot="1">
      <c r="A10" s="63">
        <v>9</v>
      </c>
      <c r="B10" s="50" t="s">
        <v>369</v>
      </c>
      <c r="C10" s="952" t="str">
        <f>IF(VLOOKUP("Event Enable",Data!$A:$DY,10,FALSE)="On", "X", "-")</f>
        <v>-</v>
      </c>
      <c r="D10" s="955" t="str">
        <f>IF(VLOOKUP("Alarm Enable",Data!$A:$DY,10,FALSE)="On", "X", "-")</f>
        <v>-</v>
      </c>
      <c r="E10" s="97"/>
      <c r="F10" s="45"/>
      <c r="G10" s="2591" t="s">
        <v>3752</v>
      </c>
      <c r="H10" s="2591"/>
      <c r="I10" s="2591"/>
      <c r="J10" s="2592" t="str">
        <f>VLOOKUP("Coord in Preempt",Data!$A$1862:$E$1862,3,FALSE)</f>
        <v>OFF</v>
      </c>
      <c r="K10" s="2593">
        <f>VLOOKUP("PH/OLP #",Data!$A:$Y,2,FALSE)</f>
        <v>1</v>
      </c>
      <c r="L10" s="2591" t="s">
        <v>23</v>
      </c>
      <c r="M10" s="2591"/>
      <c r="N10" s="2591"/>
      <c r="O10" s="2592">
        <f>VLOOKUP("Max",Data!$A$1869:$E$1869,3,FALSE)</f>
        <v>0</v>
      </c>
      <c r="P10" s="2593">
        <f>VLOOKUP("PH/OLP #",Data!$A:$Y,2,FALSE)</f>
        <v>1</v>
      </c>
      <c r="Q10" s="2596" t="s">
        <v>3756</v>
      </c>
      <c r="R10" s="2597"/>
      <c r="S10" s="2597"/>
      <c r="T10" s="2597"/>
      <c r="U10" s="2602"/>
      <c r="V10" s="1577"/>
      <c r="W10" s="45"/>
      <c r="X10" s="558">
        <v>8</v>
      </c>
      <c r="Y10" s="931">
        <f>VLOOKUP("Pin 1",Data!$A$212:$I$222,9,FALSE)</f>
        <v>41</v>
      </c>
      <c r="Z10" s="932">
        <f>VLOOKUP("Pin 2",Data!$A$212:$I$222,9,FALSE)</f>
        <v>42</v>
      </c>
      <c r="AA10" s="932">
        <f>VLOOKUP("Pin 3",Data!$A$212:$I$222,9,FALSE)</f>
        <v>43</v>
      </c>
      <c r="AB10" s="932">
        <f>VLOOKUP("Pin 4",Data!$A$212:$I$222,9,FALSE)</f>
        <v>44</v>
      </c>
      <c r="AC10" s="932">
        <f>VLOOKUP("Pin 5",Data!$A$212:$I$222,9,FALSE)</f>
        <v>189</v>
      </c>
      <c r="AD10" s="932">
        <f>VLOOKUP("Pin 6",Data!$A$212:$I$222,9,FALSE)</f>
        <v>189</v>
      </c>
      <c r="AE10" s="932">
        <f>VLOOKUP("Pin 7",Data!$A$212:$I$222,9,FALSE)</f>
        <v>189</v>
      </c>
      <c r="AF10" s="933">
        <f>VLOOKUP("Pin 8",Data!$A$212:$I$222,9,FALSE)</f>
        <v>189</v>
      </c>
      <c r="AG10" s="45"/>
      <c r="AH10" s="45"/>
      <c r="AI10" s="45"/>
      <c r="AJ10" s="45"/>
      <c r="AK10" s="45"/>
      <c r="AL10" s="974"/>
    </row>
    <row r="11" spans="1:38" ht="12" customHeight="1">
      <c r="A11" s="63">
        <v>10</v>
      </c>
      <c r="B11" s="50" t="s">
        <v>370</v>
      </c>
      <c r="C11" s="952" t="str">
        <f>IF(VLOOKUP("Event Enable",Data!$A:$DY,11,FALSE)="On", "X", "-")</f>
        <v>-</v>
      </c>
      <c r="D11" s="955" t="str">
        <f>IF(VLOOKUP("Alarm Enable",Data!$A:$DY,11,FALSE)="On", "X", "-")</f>
        <v>-</v>
      </c>
      <c r="E11" s="97"/>
      <c r="F11" s="45"/>
      <c r="G11" s="2591" t="s">
        <v>2726</v>
      </c>
      <c r="H11" s="2591"/>
      <c r="I11" s="2591"/>
      <c r="J11" s="2592" t="str">
        <f>VLOOKUP("Lock Mode",Data!$A$1868:$E$1868,3,FALSE)</f>
        <v>MAX</v>
      </c>
      <c r="K11" s="2593">
        <f>VLOOKUP("PH/OLP #",Data!$A:$Y,2,FALSE)</f>
        <v>1</v>
      </c>
      <c r="L11" s="2591" t="s">
        <v>259</v>
      </c>
      <c r="M11" s="2591"/>
      <c r="N11" s="2591"/>
      <c r="O11" s="2592">
        <f>VLOOKUP("Lock",Data!$A$1867:$E$1867,3,FALSE)</f>
        <v>0</v>
      </c>
      <c r="P11" s="2593">
        <f>VLOOKUP("PH/OLP #",Data!$A:$Y,2,FALSE)</f>
        <v>1</v>
      </c>
      <c r="Q11" s="2591" t="s">
        <v>2725</v>
      </c>
      <c r="R11" s="2591"/>
      <c r="S11" s="2591"/>
      <c r="T11" s="2592">
        <f>VLOOKUP("Headway",Data!$A$1866:$E$1866,3,FALSE)</f>
        <v>0</v>
      </c>
      <c r="U11" s="2593">
        <f>VLOOKUP("PH/OLP #",Data!$A:$Y,2,FALSE)</f>
        <v>1</v>
      </c>
      <c r="V11" s="1577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974"/>
    </row>
    <row r="12" spans="1:38" ht="12" customHeight="1">
      <c r="A12" s="63">
        <v>11</v>
      </c>
      <c r="B12" s="50" t="s">
        <v>371</v>
      </c>
      <c r="C12" s="952" t="str">
        <f>IF(VLOOKUP("Event Enable",Data!$A:$DY,12,FALSE)="On", "X", "-")</f>
        <v>-</v>
      </c>
      <c r="D12" s="955" t="str">
        <f>IF(VLOOKUP("Alarm Enable",Data!$A:$DY,12,FALSE)="On", "X", "-")</f>
        <v>-</v>
      </c>
      <c r="E12" s="97"/>
      <c r="F12" s="45"/>
      <c r="G12" s="2591" t="s">
        <v>2727</v>
      </c>
      <c r="H12" s="2591"/>
      <c r="I12" s="2591"/>
      <c r="J12" s="2592" t="str">
        <f>VLOOKUP("No Skip",Data!$A$1871:$E$1871,3,FALSE)</f>
        <v>OFF</v>
      </c>
      <c r="K12" s="2593">
        <f>VLOOKUP("PH/OLP #",Data!$A:$Y,2,FALSE)</f>
        <v>1</v>
      </c>
      <c r="L12" s="2591" t="s">
        <v>2721</v>
      </c>
      <c r="M12" s="2591"/>
      <c r="N12" s="2591"/>
      <c r="O12" s="2592">
        <f>VLOOKUP("Alt Table",Data!$A$1861:$E$1861,3,FALSE)</f>
        <v>0</v>
      </c>
      <c r="P12" s="2593">
        <f>VLOOKUP("PH/OLP #",Data!$A:$Y,2,FALSE)</f>
        <v>1</v>
      </c>
      <c r="Q12" s="2591" t="s">
        <v>3757</v>
      </c>
      <c r="R12" s="2591"/>
      <c r="S12" s="2591"/>
      <c r="T12" s="2592" t="str">
        <f>VLOOKUP("Group Lock",Data!$A$1865:$E$1865,3,FALSE)</f>
        <v>ON</v>
      </c>
      <c r="U12" s="2593">
        <f>VLOOKUP("PH/OLP #",Data!$A:$Y,2,FALSE)</f>
        <v>1</v>
      </c>
      <c r="V12" s="1577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974"/>
    </row>
    <row r="13" spans="1:38" ht="12" customHeight="1">
      <c r="A13" s="63">
        <v>12</v>
      </c>
      <c r="B13" s="50" t="s">
        <v>372</v>
      </c>
      <c r="C13" s="952" t="s">
        <v>34</v>
      </c>
      <c r="D13" s="955" t="s">
        <v>34</v>
      </c>
      <c r="E13" s="97"/>
      <c r="F13" s="45"/>
      <c r="G13" s="2591" t="s">
        <v>759</v>
      </c>
      <c r="H13" s="2591"/>
      <c r="I13" s="2591"/>
      <c r="J13" s="2592" t="str">
        <f>VLOOKUP("Queue Jump",Data!$A$1876:$E$1876,3,FALSE)</f>
        <v>OFF</v>
      </c>
      <c r="K13" s="2593">
        <f>VLOOKUP("PH/OLP #",Data!$A:$Y,2,FALSE)</f>
        <v>1</v>
      </c>
      <c r="L13" s="2591" t="s">
        <v>3754</v>
      </c>
      <c r="M13" s="2591"/>
      <c r="N13" s="2591"/>
      <c r="O13" s="2594" t="e">
        <f>VLOOKUP("Hold Dwell",Data!$A$1710:$E$1728,3,FALSE)</f>
        <v>#N/A</v>
      </c>
      <c r="P13" s="2595">
        <f>VLOOKUP("PH/OLP #",Data!$A:$Y,2,FALSE)</f>
        <v>1</v>
      </c>
      <c r="Q13" s="2591" t="s">
        <v>3758</v>
      </c>
      <c r="R13" s="2591"/>
      <c r="S13" s="2591"/>
      <c r="T13" s="2592" t="str">
        <f>VLOOKUP("Free Mode",Data!$A$1864:$E$1864,3,FALSE)</f>
        <v>ON</v>
      </c>
      <c r="U13" s="2593">
        <f>VLOOKUP("PH/OLP #",Data!$A:$Y,2,FALSE)</f>
        <v>1</v>
      </c>
      <c r="V13" s="1577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974"/>
    </row>
    <row r="14" spans="1:38" ht="12" customHeight="1" thickBot="1">
      <c r="A14" s="63">
        <v>13</v>
      </c>
      <c r="B14" s="50" t="s">
        <v>373</v>
      </c>
      <c r="C14" s="952" t="str">
        <f>IF(VLOOKUP("Event Enable",Data!$A:$DY,14,FALSE)="On", "X", "-")</f>
        <v>-</v>
      </c>
      <c r="D14" s="955" t="str">
        <f>IF(VLOOKUP("Alarm Enable",Data!$A:$DY,14,FALSE)="On", "X", "-")</f>
        <v>-</v>
      </c>
      <c r="E14" s="9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7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974"/>
    </row>
    <row r="15" spans="1:38" ht="12" customHeight="1" thickBot="1">
      <c r="A15" s="63">
        <v>14</v>
      </c>
      <c r="B15" s="50" t="s">
        <v>374</v>
      </c>
      <c r="C15" s="952" t="s">
        <v>34</v>
      </c>
      <c r="D15" s="955" t="s">
        <v>34</v>
      </c>
      <c r="E15" s="97"/>
      <c r="F15" s="975" t="s">
        <v>3980</v>
      </c>
      <c r="G15" s="45"/>
      <c r="H15" s="45"/>
      <c r="I15" s="45"/>
      <c r="J15" s="45"/>
      <c r="K15" s="45"/>
      <c r="L15" s="2607" t="s">
        <v>760</v>
      </c>
      <c r="M15" s="2607"/>
      <c r="N15" s="45"/>
      <c r="O15" s="45"/>
      <c r="P15" s="45"/>
      <c r="Q15" s="2608" t="s">
        <v>3755</v>
      </c>
      <c r="R15" s="2609"/>
      <c r="S15" s="2609"/>
      <c r="T15" s="2610"/>
      <c r="U15" s="45"/>
      <c r="V15" s="1577"/>
      <c r="W15" s="2558" t="s">
        <v>3993</v>
      </c>
      <c r="X15" s="2559"/>
      <c r="Y15" s="2559"/>
      <c r="Z15" s="2559"/>
      <c r="AA15" s="2559"/>
      <c r="AB15" s="2559"/>
      <c r="AC15" s="2559"/>
      <c r="AD15" s="2559"/>
      <c r="AE15" s="2559"/>
      <c r="AF15" s="2559"/>
      <c r="AG15" s="2559"/>
      <c r="AH15" s="2559"/>
      <c r="AI15" s="2559"/>
      <c r="AJ15" s="2559"/>
      <c r="AK15" s="2559"/>
      <c r="AL15" s="2560"/>
    </row>
    <row r="16" spans="1:38" ht="12" customHeight="1" thickBot="1">
      <c r="A16" s="63">
        <v>15</v>
      </c>
      <c r="B16" s="50" t="s">
        <v>710</v>
      </c>
      <c r="C16" s="952" t="str">
        <f>IF(VLOOKUP("Event Enable",Data!$A:$DY,16,FALSE)="On", "X", "-")</f>
        <v>-</v>
      </c>
      <c r="D16" s="955" t="str">
        <f>IF(VLOOKUP("Alarm Enable",Data!$A:$DY,16,FALSE)="On", "X", "-")</f>
        <v>-</v>
      </c>
      <c r="E16" s="97"/>
      <c r="F16" s="45"/>
      <c r="G16" s="2591" t="s">
        <v>112</v>
      </c>
      <c r="H16" s="2591"/>
      <c r="I16" s="2591"/>
      <c r="J16" s="2592" t="str">
        <f>IF(VLOOKUP("Enable",Data!$A$1863:$E$1863,4,FALSE)="","TRANS",VLOOKUP("Enable",Data!$A$1863:$E$1863,4,FALSE))</f>
        <v>TRANS</v>
      </c>
      <c r="K16" s="2593">
        <f>VLOOKUP("PH/OLP #",Data!$A:$Y,2,FALSE)</f>
        <v>1</v>
      </c>
      <c r="L16" s="2591" t="s">
        <v>3753</v>
      </c>
      <c r="M16" s="2591"/>
      <c r="N16" s="2591"/>
      <c r="O16" s="2592">
        <f>VLOOKUP("Min",Data!$A$1870:$E$1870,4,FALSE)</f>
        <v>0</v>
      </c>
      <c r="P16" s="2593">
        <f>VLOOKUP("PH/OLP #",Data!$A:$Y,2,FALSE)</f>
        <v>1</v>
      </c>
      <c r="Q16" s="1335">
        <f>VLOOKUP("Priority P1",Data!$A$1872:$E$1872,4,FALSE)</f>
        <v>0</v>
      </c>
      <c r="R16" s="1335">
        <f>VLOOKUP("Priority P2",Data!$A$1873:$E$1873,4,FALSE)</f>
        <v>0</v>
      </c>
      <c r="S16" s="1335">
        <f>VLOOKUP("Priority P3",Data!$A$1874:$E$1874,4,FALSE)</f>
        <v>0</v>
      </c>
      <c r="T16" s="1335">
        <f>VLOOKUP("Priority P4",Data!$A$1875:$Y$1875,4,FALSE)</f>
        <v>0</v>
      </c>
      <c r="U16" s="2601"/>
      <c r="V16" s="1577"/>
      <c r="W16" s="117" t="s">
        <v>59</v>
      </c>
      <c r="X16" s="2561" t="s">
        <v>214</v>
      </c>
      <c r="Y16" s="2562"/>
      <c r="Z16" s="145" t="s">
        <v>347</v>
      </c>
      <c r="AA16" s="145" t="s">
        <v>348</v>
      </c>
      <c r="AB16" s="145" t="s">
        <v>349</v>
      </c>
      <c r="AC16" s="145" t="s">
        <v>350</v>
      </c>
      <c r="AD16" s="145" t="s">
        <v>351</v>
      </c>
      <c r="AE16" s="145" t="s">
        <v>352</v>
      </c>
      <c r="AF16" s="145" t="s">
        <v>353</v>
      </c>
      <c r="AG16" s="145" t="s">
        <v>354</v>
      </c>
      <c r="AH16" s="145" t="s">
        <v>355</v>
      </c>
      <c r="AI16" s="145" t="s">
        <v>356</v>
      </c>
      <c r="AJ16" s="192" t="s">
        <v>357</v>
      </c>
      <c r="AK16" s="193" t="s">
        <v>24</v>
      </c>
      <c r="AL16" s="146" t="s">
        <v>25</v>
      </c>
    </row>
    <row r="17" spans="1:38" ht="12" customHeight="1" thickTop="1">
      <c r="A17" s="63">
        <v>16</v>
      </c>
      <c r="B17" s="50" t="s">
        <v>711</v>
      </c>
      <c r="C17" s="952" t="s">
        <v>34</v>
      </c>
      <c r="D17" s="955" t="s">
        <v>34</v>
      </c>
      <c r="E17" s="97"/>
      <c r="F17" s="45"/>
      <c r="G17" s="2591" t="s">
        <v>3752</v>
      </c>
      <c r="H17" s="2591"/>
      <c r="I17" s="2591"/>
      <c r="J17" s="2592" t="str">
        <f>VLOOKUP("Coord in Preempt",Data!$A$1862:$E$1862,4,FALSE)</f>
        <v>OFF</v>
      </c>
      <c r="K17" s="2593">
        <f>VLOOKUP("PH/OLP #",Data!$A:$Y,2,FALSE)</f>
        <v>1</v>
      </c>
      <c r="L17" s="2591" t="s">
        <v>23</v>
      </c>
      <c r="M17" s="2591"/>
      <c r="N17" s="2591"/>
      <c r="O17" s="2592">
        <f>VLOOKUP("Max",Data!$A$1869:$E$1869,4,FALSE)</f>
        <v>0</v>
      </c>
      <c r="P17" s="2593">
        <f>VLOOKUP("PH/OLP #",Data!$A:$Y,2,FALSE)</f>
        <v>1</v>
      </c>
      <c r="Q17" s="2596" t="s">
        <v>3756</v>
      </c>
      <c r="R17" s="2597"/>
      <c r="S17" s="2597"/>
      <c r="T17" s="2597"/>
      <c r="U17" s="2602"/>
      <c r="V17" s="1577"/>
      <c r="W17" s="86">
        <v>1</v>
      </c>
      <c r="X17" s="2563">
        <f>VLOOKUP("Pattern",Data!$A:$Z,2,FALSE)</f>
        <v>1</v>
      </c>
      <c r="Y17" s="2563"/>
      <c r="Z17" s="908" t="str">
        <f>IF(VLOOKUP("Aux 1",Data!$A:$Z,2,FALSE)="ON","X ", "-")</f>
        <v>-</v>
      </c>
      <c r="AA17" s="908" t="str">
        <f>IF(VLOOKUP("Aux 2",Data!$A:$Z,2,FALSE)="ON","X ", "-")</f>
        <v>-</v>
      </c>
      <c r="AB17" s="908" t="str">
        <f>IF(VLOOKUP("Aux 3",Data!$A:$Z,2,FALSE)="ON","X ", "-")</f>
        <v>-</v>
      </c>
      <c r="AC17" s="915" t="str">
        <f>IF(VLOOKUP("Special 1",Data!$A:$Z,2,FALSE)="ON","X ", "-")</f>
        <v>-</v>
      </c>
      <c r="AD17" s="915" t="str">
        <f>IF(VLOOKUP("Special 2",Data!$A:$Z,2,FALSE)="ON","X ", "-")</f>
        <v>-</v>
      </c>
      <c r="AE17" s="915" t="str">
        <f>IF(VLOOKUP("Special 3",Data!$A:$Z,2,FALSE)="ON","X ", "-")</f>
        <v>-</v>
      </c>
      <c r="AF17" s="915" t="str">
        <f>IF(VLOOKUP("Special 4",Data!$A:$Z,2,FALSE)="ON","X ", "-")</f>
        <v>-</v>
      </c>
      <c r="AG17" s="915" t="str">
        <f>IF(VLOOKUP("Special 5",Data!$A:$Z,2,FALSE)="ON","X ", "-")</f>
        <v>-</v>
      </c>
      <c r="AH17" s="915" t="str">
        <f>IF(VLOOKUP("Special 6",Data!$A:$Z,2,FALSE)="ON","X ", "-")</f>
        <v>-</v>
      </c>
      <c r="AI17" s="915" t="str">
        <f>IF(VLOOKUP("Special 7",Data!$A:$Z,2,FALSE)="ON","X ", "-")</f>
        <v>-</v>
      </c>
      <c r="AJ17" s="915" t="str">
        <f>IF(VLOOKUP("Special 8",Data!$A:$Z,2,FALSE)="ON","X ", "-")</f>
        <v>-</v>
      </c>
      <c r="AK17" s="908" t="str">
        <f>VLOOKUP( "Pre1",Data!$A:$Z,2,FALSE)</f>
        <v>0</v>
      </c>
      <c r="AL17" s="909" t="str">
        <f>VLOOKUP("Pre2",Data!$A:$Z,2,FALSE)</f>
        <v>0</v>
      </c>
    </row>
    <row r="18" spans="1:38" ht="12" customHeight="1">
      <c r="A18" s="63">
        <v>17</v>
      </c>
      <c r="B18" s="50" t="s">
        <v>375</v>
      </c>
      <c r="C18" s="952" t="s">
        <v>34</v>
      </c>
      <c r="D18" s="955" t="str">
        <f>IF(VLOOKUP("Alarm Enable",Data!$A:$DY,18,FALSE)="On", "X", "-")</f>
        <v>-</v>
      </c>
      <c r="E18" s="97"/>
      <c r="F18" s="45"/>
      <c r="G18" s="2591" t="s">
        <v>2726</v>
      </c>
      <c r="H18" s="2591"/>
      <c r="I18" s="2591"/>
      <c r="J18" s="2592" t="str">
        <f>VLOOKUP("Lock Mode",Data!$A$1868:$E$1868,4,FALSE)</f>
        <v>MAX</v>
      </c>
      <c r="K18" s="2593">
        <f>VLOOKUP("PH/OLP #",Data!$A:$Y,2,FALSE)</f>
        <v>1</v>
      </c>
      <c r="L18" s="2591" t="s">
        <v>259</v>
      </c>
      <c r="M18" s="2591"/>
      <c r="N18" s="2591"/>
      <c r="O18" s="2592">
        <f>VLOOKUP("Lock",Data!$A$1867:$E$1867,4,FALSE)</f>
        <v>0</v>
      </c>
      <c r="P18" s="2593">
        <f>VLOOKUP("PH/OLP #",Data!$A:$Y,2,FALSE)</f>
        <v>1</v>
      </c>
      <c r="Q18" s="2591" t="s">
        <v>2725</v>
      </c>
      <c r="R18" s="2591"/>
      <c r="S18" s="2591"/>
      <c r="T18" s="2592">
        <f>VLOOKUP("Headway",Data!$A$1866:$E$1866,4,FALSE)</f>
        <v>0</v>
      </c>
      <c r="U18" s="2593">
        <f>VLOOKUP("PH/OLP #",Data!$A:$Y,2,FALSE)</f>
        <v>1</v>
      </c>
      <c r="V18" s="1577"/>
      <c r="W18" s="63">
        <v>2</v>
      </c>
      <c r="X18" s="2555">
        <f>VLOOKUP("Pattern",Data!$A:$Z,3,FALSE)</f>
        <v>2</v>
      </c>
      <c r="Y18" s="2555"/>
      <c r="Z18" s="910" t="str">
        <f>IF(VLOOKUP("Aux 1",Data!$A:$Z,3,FALSE)="ON","X ", "-")</f>
        <v>-</v>
      </c>
      <c r="AA18" s="910" t="str">
        <f>IF(VLOOKUP("Aux 2",Data!$A:$Z,3,FALSE)="ON","X ", "-")</f>
        <v>-</v>
      </c>
      <c r="AB18" s="910" t="str">
        <f>IF(VLOOKUP("Aux 3",Data!$A:$Z,3,FALSE)="ON","X ", "-")</f>
        <v>-</v>
      </c>
      <c r="AC18" s="910" t="str">
        <f>IF(VLOOKUP("Special 1",Data!$A:$Z,3,FALSE)="ON","X ", "-")</f>
        <v>-</v>
      </c>
      <c r="AD18" s="910" t="str">
        <f>IF(VLOOKUP("Special 2",Data!$A:$Z,3,FALSE)="ON","X ", "-")</f>
        <v>-</v>
      </c>
      <c r="AE18" s="910" t="str">
        <f>IF(VLOOKUP("Special 3",Data!$A:$Z,3,FALSE)="ON","X ", "-")</f>
        <v>-</v>
      </c>
      <c r="AF18" s="910" t="str">
        <f>IF(VLOOKUP("Special 4",Data!$A:$Z,3,FALSE)="ON","X ", "-")</f>
        <v>-</v>
      </c>
      <c r="AG18" s="910" t="str">
        <f>IF(VLOOKUP("Special 5",Data!$A:$Z,3,FALSE)="ON","X ", "-")</f>
        <v>-</v>
      </c>
      <c r="AH18" s="910" t="str">
        <f>IF(VLOOKUP("Special 6",Data!$A:$Z,3,FALSE)="ON","X ", "-")</f>
        <v>-</v>
      </c>
      <c r="AI18" s="910" t="str">
        <f>IF(VLOOKUP("Special 7",Data!$A:$Z,3,FALSE)="ON","X ", "-")</f>
        <v>-</v>
      </c>
      <c r="AJ18" s="910" t="str">
        <f>IF(VLOOKUP("Special 8",Data!$A:$Z,3,FALSE)="ON","X ", "-")</f>
        <v>-</v>
      </c>
      <c r="AK18" s="910" t="str">
        <f>VLOOKUP( "Pre1",Data!$A:$Z,3,FALSE)</f>
        <v>0</v>
      </c>
      <c r="AL18" s="911" t="str">
        <f>VLOOKUP("Pre2",Data!$A:$Z,3,FALSE)</f>
        <v>0</v>
      </c>
    </row>
    <row r="19" spans="1:38" ht="12" customHeight="1">
      <c r="A19" s="63">
        <v>18</v>
      </c>
      <c r="B19" s="50" t="s">
        <v>376</v>
      </c>
      <c r="C19" s="952" t="s">
        <v>34</v>
      </c>
      <c r="D19" s="955" t="str">
        <f>IF(VLOOKUP("Alarm Enable",Data!$A:$DY,19,FALSE)="On", "X", "-")</f>
        <v>-</v>
      </c>
      <c r="E19" s="97"/>
      <c r="F19" s="45"/>
      <c r="G19" s="2591" t="s">
        <v>2727</v>
      </c>
      <c r="H19" s="2591"/>
      <c r="I19" s="2591"/>
      <c r="J19" s="2592" t="str">
        <f>VLOOKUP("No Skip",Data!$A$1871:$E$1871,4,FALSE)</f>
        <v>OFF</v>
      </c>
      <c r="K19" s="2593">
        <f>VLOOKUP("PH/OLP #",Data!$A:$Y,2,FALSE)</f>
        <v>1</v>
      </c>
      <c r="L19" s="2591" t="s">
        <v>2721</v>
      </c>
      <c r="M19" s="2591"/>
      <c r="N19" s="2591"/>
      <c r="O19" s="2592">
        <f>VLOOKUP("Alt Table",Data!$A$1861:$E$1861,4,FALSE)</f>
        <v>0</v>
      </c>
      <c r="P19" s="2593">
        <f>VLOOKUP("PH/OLP #",Data!$A:$Y,2,FALSE)</f>
        <v>1</v>
      </c>
      <c r="Q19" s="2591" t="s">
        <v>3757</v>
      </c>
      <c r="R19" s="2591"/>
      <c r="S19" s="2591"/>
      <c r="T19" s="2592" t="str">
        <f>VLOOKUP("Group Lock",Data!$A$1865:$E$1865,4,FALSE)</f>
        <v>ON</v>
      </c>
      <c r="U19" s="2593">
        <f>VLOOKUP("PH/OLP #",Data!$A:$Y,2,FALSE)</f>
        <v>1</v>
      </c>
      <c r="V19" s="1577"/>
      <c r="W19" s="63">
        <v>3</v>
      </c>
      <c r="X19" s="2555">
        <f>VLOOKUP("Pattern",Data!$A:$Z,4,FALSE)</f>
        <v>3</v>
      </c>
      <c r="Y19" s="2555"/>
      <c r="Z19" s="908" t="str">
        <f>IF(VLOOKUP("Aux 1",Data!$A:$Z,4,FALSE)="ON","X ", "-")</f>
        <v>-</v>
      </c>
      <c r="AA19" s="908" t="str">
        <f>IF(VLOOKUP("Aux 2",Data!$A:$Z,4,FALSE)="ON","X ", "-")</f>
        <v>-</v>
      </c>
      <c r="AB19" s="908" t="str">
        <f>IF(VLOOKUP("Aux 3",Data!$A:$Z,4,FALSE)="ON","X ", "-")</f>
        <v>-</v>
      </c>
      <c r="AC19" s="915" t="str">
        <f>IF(VLOOKUP("Special 1",Data!$A:$Z,4,FALSE)="ON","X ", "-")</f>
        <v>-</v>
      </c>
      <c r="AD19" s="915" t="str">
        <f>IF(VLOOKUP("Special 2",Data!$A:$Z,4,FALSE)="ON","X ", "-")</f>
        <v>-</v>
      </c>
      <c r="AE19" s="915" t="str">
        <f>IF(VLOOKUP("Special 3",Data!$A:$Z,4,FALSE)="ON","X ", "-")</f>
        <v>-</v>
      </c>
      <c r="AF19" s="915" t="str">
        <f>IF(VLOOKUP("Special 4",Data!$A:$Z,4,FALSE)="ON","X ", "-")</f>
        <v>-</v>
      </c>
      <c r="AG19" s="915" t="str">
        <f>IF(VLOOKUP("Special 5",Data!$A:$Z,4,FALSE)="ON","X ", "-")</f>
        <v>-</v>
      </c>
      <c r="AH19" s="915" t="str">
        <f>IF(VLOOKUP("Special 6",Data!$A:$Z,4,FALSE)="ON","X ", "-")</f>
        <v>-</v>
      </c>
      <c r="AI19" s="915" t="str">
        <f>IF(VLOOKUP("Special 7",Data!$A:$Z,4,FALSE)="ON","X ", "-")</f>
        <v>-</v>
      </c>
      <c r="AJ19" s="915" t="str">
        <f>IF(VLOOKUP("Special 8",Data!$A:$Z,4,FALSE)="ON","X ", "-")</f>
        <v>-</v>
      </c>
      <c r="AK19" s="908" t="str">
        <f>VLOOKUP( "Pre1",Data!$A:$Z,4,FALSE)</f>
        <v>0</v>
      </c>
      <c r="AL19" s="909" t="str">
        <f>VLOOKUP("Pre2",Data!$A:$Z,4,FALSE)</f>
        <v>0</v>
      </c>
    </row>
    <row r="20" spans="1:38" ht="12" customHeight="1">
      <c r="A20" s="63">
        <v>19</v>
      </c>
      <c r="B20" s="50" t="s">
        <v>377</v>
      </c>
      <c r="C20" s="952" t="s">
        <v>34</v>
      </c>
      <c r="D20" s="955" t="s">
        <v>34</v>
      </c>
      <c r="E20" s="97"/>
      <c r="F20" s="45"/>
      <c r="G20" s="2591" t="s">
        <v>759</v>
      </c>
      <c r="H20" s="2591"/>
      <c r="I20" s="2591"/>
      <c r="J20" s="2592" t="str">
        <f>VLOOKUP("Queue Jump",Data!$A$1876:$E$1876,4,FALSE)</f>
        <v>OFF</v>
      </c>
      <c r="K20" s="2593">
        <f>VLOOKUP("PH/OLP #",Data!$A:$Y,2,FALSE)</f>
        <v>1</v>
      </c>
      <c r="L20" s="2591" t="s">
        <v>3754</v>
      </c>
      <c r="M20" s="2591"/>
      <c r="N20" s="2591"/>
      <c r="O20" s="2594" t="e">
        <f>VLOOKUP("Hold Dwell",Data!$A$1710:$E$1728,4,FALSE)</f>
        <v>#N/A</v>
      </c>
      <c r="P20" s="2595">
        <f>VLOOKUP("PH/OLP #",Data!$A:$Y,2,FALSE)</f>
        <v>1</v>
      </c>
      <c r="Q20" s="2591" t="s">
        <v>3758</v>
      </c>
      <c r="R20" s="2591"/>
      <c r="S20" s="2591"/>
      <c r="T20" s="2592" t="str">
        <f>VLOOKUP("Free Mode",Data!$A$1864:$E$1864,4,FALSE)</f>
        <v>ON</v>
      </c>
      <c r="U20" s="2593">
        <f>VLOOKUP("PH/OLP #",Data!$A:$Y,2,FALSE)</f>
        <v>1</v>
      </c>
      <c r="V20" s="1577"/>
      <c r="W20" s="63">
        <v>4</v>
      </c>
      <c r="X20" s="2555">
        <f>VLOOKUP("Pattern",Data!$A:$Z,5,FALSE)</f>
        <v>4</v>
      </c>
      <c r="Y20" s="2555"/>
      <c r="Z20" s="910" t="str">
        <f>IF(VLOOKUP("Aux 1",Data!$A:$Z,5,FALSE)="ON","X ", "-")</f>
        <v>-</v>
      </c>
      <c r="AA20" s="910" t="str">
        <f>IF(VLOOKUP("Aux 2",Data!$A:$Z,5,FALSE)="ON","X ", "-")</f>
        <v>-</v>
      </c>
      <c r="AB20" s="910" t="str">
        <f>IF(VLOOKUP("Aux 3",Data!$A:$Z,5,FALSE)="ON","X ", "-")</f>
        <v>-</v>
      </c>
      <c r="AC20" s="910" t="str">
        <f>IF(VLOOKUP("Special 1",Data!$A:$Z,5,FALSE)="ON","X ", "-")</f>
        <v>-</v>
      </c>
      <c r="AD20" s="910" t="str">
        <f>IF(VLOOKUP("Special 2",Data!$A:$Z,5,FALSE)="ON","X ", "-")</f>
        <v>-</v>
      </c>
      <c r="AE20" s="910" t="str">
        <f>IF(VLOOKUP("Special 3",Data!$A:$Z,5,FALSE)="ON","X ", "-")</f>
        <v>-</v>
      </c>
      <c r="AF20" s="910" t="str">
        <f>IF(VLOOKUP("Special 4",Data!$A:$Z,5,FALSE)="ON","X ", "-")</f>
        <v>-</v>
      </c>
      <c r="AG20" s="910" t="str">
        <f>IF(VLOOKUP("Special 5",Data!$A:$Z,5,FALSE)="ON","X ", "-")</f>
        <v>-</v>
      </c>
      <c r="AH20" s="910" t="str">
        <f>IF(VLOOKUP("Special 6",Data!$A:$Z,5,FALSE)="ON","X ", "-")</f>
        <v>-</v>
      </c>
      <c r="AI20" s="910" t="str">
        <f>IF(VLOOKUP("Special 7",Data!$A:$Z,5,FALSE)="ON","X ", "-")</f>
        <v>-</v>
      </c>
      <c r="AJ20" s="910" t="str">
        <f>IF(VLOOKUP("Special 8",Data!$A:$Z,5,FALSE)="ON","X ", "-")</f>
        <v>-</v>
      </c>
      <c r="AK20" s="910" t="str">
        <f>VLOOKUP( "Pre1",Data!$A:$Z,5,FALSE)</f>
        <v>0</v>
      </c>
      <c r="AL20" s="911" t="str">
        <f>VLOOKUP("Pre2",Data!$A:$Z,5,FALSE)</f>
        <v>0</v>
      </c>
    </row>
    <row r="21" spans="1:38" ht="12" customHeight="1">
      <c r="A21" s="63">
        <v>20</v>
      </c>
      <c r="B21" s="50" t="s">
        <v>378</v>
      </c>
      <c r="C21" s="952" t="s">
        <v>34</v>
      </c>
      <c r="D21" s="955" t="s">
        <v>34</v>
      </c>
      <c r="E21" s="9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577"/>
      <c r="W21" s="63">
        <v>5</v>
      </c>
      <c r="X21" s="2555">
        <f>VLOOKUP("Pattern",Data!$A:$Z,6,FALSE)</f>
        <v>5</v>
      </c>
      <c r="Y21" s="2555"/>
      <c r="Z21" s="908" t="str">
        <f>IF(VLOOKUP("Aux 1",Data!$A:$Z,6,FALSE)="ON","X ", "-")</f>
        <v>-</v>
      </c>
      <c r="AA21" s="908" t="str">
        <f>IF(VLOOKUP("Aux 2",Data!$A:$Z,6,FALSE)="ON","X ", "-")</f>
        <v>-</v>
      </c>
      <c r="AB21" s="908" t="str">
        <f>IF(VLOOKUP("Aux 3",Data!$A:$Z,6,FALSE)="ON","X ", "-")</f>
        <v>-</v>
      </c>
      <c r="AC21" s="915" t="str">
        <f>IF(VLOOKUP("Special 1",Data!$A:$Z,6,FALSE)="ON","X ", "-")</f>
        <v>-</v>
      </c>
      <c r="AD21" s="915" t="str">
        <f>IF(VLOOKUP("Special 2",Data!$A:$Z,6,FALSE)="ON","X ", "-")</f>
        <v>-</v>
      </c>
      <c r="AE21" s="915" t="str">
        <f>IF(VLOOKUP("Special 3",Data!$A:$Z,6,FALSE)="ON","X ", "-")</f>
        <v>-</v>
      </c>
      <c r="AF21" s="915" t="str">
        <f>IF(VLOOKUP("Special 4",Data!$A:$Z,6,FALSE)="ON","X ", "-")</f>
        <v>-</v>
      </c>
      <c r="AG21" s="915" t="str">
        <f>IF(VLOOKUP("Special 5",Data!$A:$Z,6,FALSE)="ON","X ", "-")</f>
        <v>-</v>
      </c>
      <c r="AH21" s="915" t="str">
        <f>IF(VLOOKUP("Special 6",Data!$A:$Z,6,FALSE)="ON","X ", "-")</f>
        <v>-</v>
      </c>
      <c r="AI21" s="915" t="str">
        <f>IF(VLOOKUP("Special 7",Data!$A:$Z,6,FALSE)="ON","X ", "-")</f>
        <v>-</v>
      </c>
      <c r="AJ21" s="915" t="str">
        <f>IF(VLOOKUP("Special 8",Data!$A:$Z,6,FALSE)="ON","X ", "-")</f>
        <v>-</v>
      </c>
      <c r="AK21" s="908" t="str">
        <f>VLOOKUP( "Pre1",Data!$A:$Z,6,FALSE)</f>
        <v>0</v>
      </c>
      <c r="AL21" s="909" t="str">
        <f>VLOOKUP("Pre2",Data!$A:$Z,6,FALSE)</f>
        <v>0</v>
      </c>
    </row>
    <row r="22" spans="1:38" ht="12" customHeight="1">
      <c r="A22" s="63">
        <v>25</v>
      </c>
      <c r="B22" s="50" t="s">
        <v>379</v>
      </c>
      <c r="C22" s="952" t="s">
        <v>34</v>
      </c>
      <c r="D22" s="955" t="s">
        <v>34</v>
      </c>
      <c r="E22" s="97"/>
      <c r="F22" s="975" t="s">
        <v>3981</v>
      </c>
      <c r="G22" s="45"/>
      <c r="H22" s="45"/>
      <c r="I22" s="45"/>
      <c r="J22" s="45"/>
      <c r="K22" s="45"/>
      <c r="L22" s="2607" t="s">
        <v>760</v>
      </c>
      <c r="M22" s="2607"/>
      <c r="N22" s="45"/>
      <c r="O22" s="45"/>
      <c r="P22" s="45"/>
      <c r="Q22" s="2608" t="s">
        <v>3755</v>
      </c>
      <c r="R22" s="2609"/>
      <c r="S22" s="2609"/>
      <c r="T22" s="2610"/>
      <c r="U22" s="45"/>
      <c r="V22" s="1577"/>
      <c r="W22" s="63">
        <v>6</v>
      </c>
      <c r="X22" s="2555">
        <f>VLOOKUP("Pattern",Data!$A:$Z,7,FALSE)</f>
        <v>6</v>
      </c>
      <c r="Y22" s="2555"/>
      <c r="Z22" s="910" t="str">
        <f>IF(VLOOKUP("Aux 1",Data!$A:$Z,7,FALSE)="ON","X ", "-")</f>
        <v>-</v>
      </c>
      <c r="AA22" s="910" t="str">
        <f>IF(VLOOKUP("Aux 2",Data!$A:$Z,7,FALSE)="ON","X ", "-")</f>
        <v>-</v>
      </c>
      <c r="AB22" s="910" t="str">
        <f>IF(VLOOKUP("Aux 3",Data!$A:$Z,7,FALSE)="ON","X ", "-")</f>
        <v>-</v>
      </c>
      <c r="AC22" s="910" t="str">
        <f>IF(VLOOKUP("Special 1",Data!$A:$Z,7,FALSE)="ON","X ", "-")</f>
        <v>-</v>
      </c>
      <c r="AD22" s="910" t="str">
        <f>IF(VLOOKUP("Special 2",Data!$A:$Z,7,FALSE)="ON","X ", "-")</f>
        <v>-</v>
      </c>
      <c r="AE22" s="910" t="str">
        <f>IF(VLOOKUP("Special 3",Data!$A:$Z,7,FALSE)="ON","X ", "-")</f>
        <v>-</v>
      </c>
      <c r="AF22" s="910" t="str">
        <f>IF(VLOOKUP("Special 4",Data!$A:$Z,7,FALSE)="ON","X ", "-")</f>
        <v>-</v>
      </c>
      <c r="AG22" s="910" t="str">
        <f>IF(VLOOKUP("Special 5",Data!$A:$Z,7,FALSE)="ON","X ", "-")</f>
        <v>-</v>
      </c>
      <c r="AH22" s="910" t="str">
        <f>IF(VLOOKUP("Special 6",Data!$A:$Z,7,FALSE)="ON","X ", "-")</f>
        <v>-</v>
      </c>
      <c r="AI22" s="910" t="str">
        <f>IF(VLOOKUP("Special 7",Data!$A:$Z,7,FALSE)="ON","X ", "-")</f>
        <v>-</v>
      </c>
      <c r="AJ22" s="910" t="str">
        <f>IF(VLOOKUP("Special 8",Data!$A:$Z,7,FALSE)="ON","X ", "-")</f>
        <v>-</v>
      </c>
      <c r="AK22" s="910" t="str">
        <f>VLOOKUP( "Pre1",Data!$A:$Z,7,FALSE)</f>
        <v>0</v>
      </c>
      <c r="AL22" s="911" t="str">
        <f>VLOOKUP("Pre2",Data!$A:$Z,7,FALSE)</f>
        <v>0</v>
      </c>
    </row>
    <row r="23" spans="1:38" ht="12" customHeight="1">
      <c r="A23" s="63">
        <v>30</v>
      </c>
      <c r="B23" s="50" t="s">
        <v>705</v>
      </c>
      <c r="C23" s="952" t="s">
        <v>34</v>
      </c>
      <c r="D23" s="955" t="s">
        <v>34</v>
      </c>
      <c r="E23" s="97"/>
      <c r="F23" s="45"/>
      <c r="G23" s="2604" t="s">
        <v>112</v>
      </c>
      <c r="H23" s="2604"/>
      <c r="I23" s="2604"/>
      <c r="J23" s="2605" t="str">
        <f>IF(VLOOKUP("Enable",Data!$A$1863:$E$1863,5,FALSE)="","TRANS",VLOOKUP("Enable",Data!$A$1863:$E$1863,5,FALSE))</f>
        <v>OFF</v>
      </c>
      <c r="K23" s="2606">
        <f>VLOOKUP("PH/OLP #",Data!$A:$Y,2,FALSE)</f>
        <v>1</v>
      </c>
      <c r="L23" s="2604" t="s">
        <v>3753</v>
      </c>
      <c r="M23" s="2604"/>
      <c r="N23" s="2604"/>
      <c r="O23" s="2605">
        <f>VLOOKUP("Min",Data!$A$1870:$E$1870,5,FALSE)</f>
        <v>0</v>
      </c>
      <c r="P23" s="2606">
        <f>VLOOKUP("PH/OLP #",Data!$A:$Y,2,FALSE)</f>
        <v>1</v>
      </c>
      <c r="Q23" s="1336">
        <f>VLOOKUP("Priority P1",Data!$A$1872:$E$1872,5,FALSE)</f>
        <v>0</v>
      </c>
      <c r="R23" s="1336">
        <f>VLOOKUP("Priority P2",Data!$A$1873:$E$1873,5,FALSE)</f>
        <v>0</v>
      </c>
      <c r="S23" s="1336">
        <f>VLOOKUP("Priority P3",Data!$A$1874:$E$1874,5,FALSE)</f>
        <v>0</v>
      </c>
      <c r="T23" s="1336">
        <f>VLOOKUP("Priority P4",Data!$A$1875:$Y$1875,5,FALSE)</f>
        <v>0</v>
      </c>
      <c r="U23" s="2601"/>
      <c r="V23" s="1577"/>
      <c r="W23" s="63">
        <v>7</v>
      </c>
      <c r="X23" s="2555">
        <f>VLOOKUP("Pattern",Data!$A:$Z,8,FALSE)</f>
        <v>7</v>
      </c>
      <c r="Y23" s="2555"/>
      <c r="Z23" s="908" t="str">
        <f>IF(VLOOKUP("Aux 1",Data!$A:$Z,8,FALSE)="ON","X ", "-")</f>
        <v>-</v>
      </c>
      <c r="AA23" s="908" t="str">
        <f>IF(VLOOKUP("Aux 2",Data!$A:$Z,8,FALSE)="ON","X ", "-")</f>
        <v>-</v>
      </c>
      <c r="AB23" s="908" t="str">
        <f>IF(VLOOKUP("Aux 3",Data!$A:$Z,8,FALSE)="ON","X ", "-")</f>
        <v>-</v>
      </c>
      <c r="AC23" s="915" t="str">
        <f>IF(VLOOKUP("Special 1",Data!$A:$Z,8,FALSE)="ON","X ", "-")</f>
        <v>-</v>
      </c>
      <c r="AD23" s="915" t="str">
        <f>IF(VLOOKUP("Special 2",Data!$A:$Z,8,FALSE)="ON","X ", "-")</f>
        <v>-</v>
      </c>
      <c r="AE23" s="915" t="str">
        <f>IF(VLOOKUP("Special 3",Data!$A:$Z,8,FALSE)="ON","X ", "-")</f>
        <v>-</v>
      </c>
      <c r="AF23" s="915" t="str">
        <f>IF(VLOOKUP("Special 4",Data!$A:$Z,8,FALSE)="ON","X ", "-")</f>
        <v>-</v>
      </c>
      <c r="AG23" s="915" t="str">
        <f>IF(VLOOKUP("Special 5",Data!$A:$Z,8,FALSE)="ON","X ", "-")</f>
        <v>-</v>
      </c>
      <c r="AH23" s="915" t="str">
        <f>IF(VLOOKUP("Special 6",Data!$A:$Z,8,FALSE)="ON","X ", "-")</f>
        <v>-</v>
      </c>
      <c r="AI23" s="915" t="str">
        <f>IF(VLOOKUP("Special 7",Data!$A:$Z,8,FALSE)="ON","X ", "-")</f>
        <v>-</v>
      </c>
      <c r="AJ23" s="915" t="str">
        <f>IF(VLOOKUP("Special 8",Data!$A:$Z,8,FALSE)="ON","X ", "-")</f>
        <v>-</v>
      </c>
      <c r="AK23" s="908" t="str">
        <f>VLOOKUP( "Pre1",Data!$A:$Z,8,FALSE)</f>
        <v>0</v>
      </c>
      <c r="AL23" s="909" t="str">
        <f>VLOOKUP("Pre2",Data!$A:$Z,8,FALSE)</f>
        <v>0</v>
      </c>
    </row>
    <row r="24" spans="1:38" ht="12" customHeight="1">
      <c r="A24" s="63">
        <v>37</v>
      </c>
      <c r="B24" s="50" t="s">
        <v>706</v>
      </c>
      <c r="C24" s="952" t="s">
        <v>34</v>
      </c>
      <c r="D24" s="955" t="s">
        <v>34</v>
      </c>
      <c r="E24" s="97"/>
      <c r="F24" s="45"/>
      <c r="G24" s="2604" t="s">
        <v>3752</v>
      </c>
      <c r="H24" s="2604"/>
      <c r="I24" s="2604"/>
      <c r="J24" s="2605" t="str">
        <f>VLOOKUP("Coord in Preempt",Data!$A$1862:$E$1862,5,FALSE)</f>
        <v>OFF</v>
      </c>
      <c r="K24" s="2606">
        <f>VLOOKUP("PH/OLP #",Data!$A:$Y,2,FALSE)</f>
        <v>1</v>
      </c>
      <c r="L24" s="2604" t="s">
        <v>23</v>
      </c>
      <c r="M24" s="2604"/>
      <c r="N24" s="2604"/>
      <c r="O24" s="2605">
        <f>VLOOKUP("Max",Data!$A$1869:$E$1869,5,FALSE)</f>
        <v>0</v>
      </c>
      <c r="P24" s="2606">
        <f>VLOOKUP("PH/OLP #",Data!$A:$Y,2,FALSE)</f>
        <v>1</v>
      </c>
      <c r="Q24" s="2596" t="s">
        <v>3756</v>
      </c>
      <c r="R24" s="2597"/>
      <c r="S24" s="2597"/>
      <c r="T24" s="2597"/>
      <c r="U24" s="2602"/>
      <c r="V24" s="1577"/>
      <c r="W24" s="63">
        <v>8</v>
      </c>
      <c r="X24" s="2555">
        <f>VLOOKUP("Pattern",Data!$A:$Z,9,FALSE)</f>
        <v>8</v>
      </c>
      <c r="Y24" s="2555"/>
      <c r="Z24" s="910" t="str">
        <f>IF(VLOOKUP("Aux 1",Data!$A:$Z,9,FALSE)="ON","X ", "-")</f>
        <v>-</v>
      </c>
      <c r="AA24" s="910" t="str">
        <f>IF(VLOOKUP("Aux 2",Data!$A:$Z,9,FALSE)="ON","X ", "-")</f>
        <v>-</v>
      </c>
      <c r="AB24" s="910" t="str">
        <f>IF(VLOOKUP("Aux 3",Data!$A:$Z,9,FALSE)="ON","X ", "-")</f>
        <v>-</v>
      </c>
      <c r="AC24" s="910" t="str">
        <f>IF(VLOOKUP("Special 1",Data!$A:$Z,9,FALSE)="ON","X ", "-")</f>
        <v>-</v>
      </c>
      <c r="AD24" s="910" t="str">
        <f>IF(VLOOKUP("Special 2",Data!$A:$Z,9,FALSE)="ON","X ", "-")</f>
        <v>-</v>
      </c>
      <c r="AE24" s="910" t="str">
        <f>IF(VLOOKUP("Special 3",Data!$A:$Z,9,FALSE)="ON","X ", "-")</f>
        <v>-</v>
      </c>
      <c r="AF24" s="910" t="str">
        <f>IF(VLOOKUP("Special 4",Data!$A:$Z,9,FALSE)="ON","X ", "-")</f>
        <v>-</v>
      </c>
      <c r="AG24" s="910" t="str">
        <f>IF(VLOOKUP("Special 5",Data!$A:$Z,9,FALSE)="ON","X ", "-")</f>
        <v>-</v>
      </c>
      <c r="AH24" s="910" t="str">
        <f>IF(VLOOKUP("Special 6",Data!$A:$Z,9,FALSE)="ON","X ", "-")</f>
        <v>-</v>
      </c>
      <c r="AI24" s="910" t="str">
        <f>IF(VLOOKUP("Special 7",Data!$A:$Z,9,FALSE)="ON","X ", "-")</f>
        <v>-</v>
      </c>
      <c r="AJ24" s="910" t="str">
        <f>IF(VLOOKUP("Special 8",Data!$A:$Z,9,FALSE)="ON","X ", "-")</f>
        <v>-</v>
      </c>
      <c r="AK24" s="910" t="str">
        <f>VLOOKUP( "Pre1",Data!$A:$Z,9,FALSE)</f>
        <v>0</v>
      </c>
      <c r="AL24" s="911" t="str">
        <f>VLOOKUP("Pre2",Data!$A:$Z,9,FALSE)</f>
        <v>0</v>
      </c>
    </row>
    <row r="25" spans="1:38" ht="12" customHeight="1">
      <c r="A25" s="63">
        <v>38</v>
      </c>
      <c r="B25" s="50" t="s">
        <v>765</v>
      </c>
      <c r="C25" s="952" t="str">
        <f>IF(VLOOKUP("Event Enable",Data!$A:$DY,39,FALSE)="On", "X", "-")</f>
        <v>-</v>
      </c>
      <c r="D25" s="955" t="str">
        <f>IF(VLOOKUP("Alarm Enable",Data!$A:$DY,39,FALSE)="On", "X", "-")</f>
        <v>-</v>
      </c>
      <c r="E25" s="97"/>
      <c r="F25" s="45"/>
      <c r="G25" s="2604" t="s">
        <v>2726</v>
      </c>
      <c r="H25" s="2604"/>
      <c r="I25" s="2604"/>
      <c r="J25" s="2605" t="str">
        <f>VLOOKUP("Lock Mode",Data!$A$1868:$E$1868,5,FALSE)</f>
        <v>MAX</v>
      </c>
      <c r="K25" s="2606">
        <f>VLOOKUP("PH/OLP #",Data!$A:$Y,2,FALSE)</f>
        <v>1</v>
      </c>
      <c r="L25" s="2604" t="s">
        <v>259</v>
      </c>
      <c r="M25" s="2604"/>
      <c r="N25" s="2604"/>
      <c r="O25" s="2605">
        <f>VLOOKUP("Lock",Data!$A$1867:$E$1867,5,FALSE)</f>
        <v>0</v>
      </c>
      <c r="P25" s="2606">
        <f>VLOOKUP("PH/OLP #",Data!$A:$Y,2,FALSE)</f>
        <v>1</v>
      </c>
      <c r="Q25" s="2604" t="s">
        <v>2725</v>
      </c>
      <c r="R25" s="2604"/>
      <c r="S25" s="2604"/>
      <c r="T25" s="2605">
        <f>VLOOKUP("Headway",Data!$A$1866:$E$1866,5,FALSE)</f>
        <v>0</v>
      </c>
      <c r="U25" s="2606">
        <f>VLOOKUP("PH/OLP #",Data!$A:$Y,2,FALSE)</f>
        <v>1</v>
      </c>
      <c r="V25" s="1577"/>
      <c r="W25" s="63">
        <v>9</v>
      </c>
      <c r="X25" s="2555">
        <f>VLOOKUP("Pattern",Data!$A:$Z,10,FALSE)</f>
        <v>9</v>
      </c>
      <c r="Y25" s="2555"/>
      <c r="Z25" s="908" t="str">
        <f>IF(VLOOKUP("Aux 1",Data!$A:$Z,10,FALSE)="ON","X ", "-")</f>
        <v>-</v>
      </c>
      <c r="AA25" s="908" t="str">
        <f>IF(VLOOKUP("Aux 2",Data!$A:$Z,10,FALSE)="ON","X ", "-")</f>
        <v>-</v>
      </c>
      <c r="AB25" s="908" t="str">
        <f>IF(VLOOKUP("Aux 3",Data!$A:$Z,10,FALSE)="ON","X ", "-")</f>
        <v>-</v>
      </c>
      <c r="AC25" s="915" t="str">
        <f>IF(VLOOKUP("Special 1",Data!$A:$Z,10,FALSE)="ON","X ", "-")</f>
        <v>-</v>
      </c>
      <c r="AD25" s="915" t="str">
        <f>IF(VLOOKUP("Special 2",Data!$A:$Z,10,FALSE)="ON","X ", "-")</f>
        <v>-</v>
      </c>
      <c r="AE25" s="915" t="str">
        <f>IF(VLOOKUP("Special 3",Data!$A:$Z,10,FALSE)="ON","X ", "-")</f>
        <v>-</v>
      </c>
      <c r="AF25" s="915" t="str">
        <f>IF(VLOOKUP("Special 4",Data!$A:$Z,10,FALSE)="ON","X ", "-")</f>
        <v>-</v>
      </c>
      <c r="AG25" s="915" t="str">
        <f>IF(VLOOKUP("Special 5",Data!$A:$Z,10,FALSE)="ON","X ", "-")</f>
        <v>-</v>
      </c>
      <c r="AH25" s="915" t="str">
        <f>IF(VLOOKUP("Special 6",Data!$A:$Z,10,FALSE)="ON","X ", "-")</f>
        <v>-</v>
      </c>
      <c r="AI25" s="915" t="str">
        <f>IF(VLOOKUP("Special 7",Data!$A:$Z,10,FALSE)="ON","X ", "-")</f>
        <v>-</v>
      </c>
      <c r="AJ25" s="915" t="str">
        <f>IF(VLOOKUP("Special 8",Data!$A:$Z,10,FALSE)="ON","X ", "-")</f>
        <v>-</v>
      </c>
      <c r="AK25" s="908" t="str">
        <f>VLOOKUP( "Pre1",Data!$A:$Z,10,FALSE)</f>
        <v>0</v>
      </c>
      <c r="AL25" s="909" t="str">
        <f>VLOOKUP("Pre2",Data!$A:$Z,10,FALSE)</f>
        <v>0</v>
      </c>
    </row>
    <row r="26" spans="1:38" ht="12" customHeight="1">
      <c r="A26" s="63">
        <v>49</v>
      </c>
      <c r="B26" s="50" t="s">
        <v>380</v>
      </c>
      <c r="C26" s="952" t="s">
        <v>34</v>
      </c>
      <c r="D26" s="955" t="s">
        <v>34</v>
      </c>
      <c r="E26" s="97"/>
      <c r="F26" s="45"/>
      <c r="G26" s="2604" t="s">
        <v>2727</v>
      </c>
      <c r="H26" s="2604"/>
      <c r="I26" s="2604"/>
      <c r="J26" s="2605" t="str">
        <f>VLOOKUP("No Skip",Data!$A$1871:$E$1871,5,FALSE)</f>
        <v>OFF</v>
      </c>
      <c r="K26" s="2606">
        <f>VLOOKUP("PH/OLP #",Data!$A:$Y,2,FALSE)</f>
        <v>1</v>
      </c>
      <c r="L26" s="2604" t="s">
        <v>2721</v>
      </c>
      <c r="M26" s="2604"/>
      <c r="N26" s="2604"/>
      <c r="O26" s="2605">
        <f>VLOOKUP("Alt Table",Data!$A$1861:$E$1861,5,FALSE)</f>
        <v>0</v>
      </c>
      <c r="P26" s="2606">
        <f>VLOOKUP("PH/OLP #",Data!$A:$Y,2,FALSE)</f>
        <v>1</v>
      </c>
      <c r="Q26" s="2604" t="s">
        <v>3757</v>
      </c>
      <c r="R26" s="2604"/>
      <c r="S26" s="2604"/>
      <c r="T26" s="2605" t="str">
        <f>VLOOKUP("Group Lock",Data!$A$1865:$E$1865,5,FALSE)</f>
        <v>ON</v>
      </c>
      <c r="U26" s="2606">
        <f>VLOOKUP("PH/OLP #",Data!$A:$Y,2,FALSE)</f>
        <v>1</v>
      </c>
      <c r="V26" s="1577"/>
      <c r="W26" s="63">
        <v>10</v>
      </c>
      <c r="X26" s="2555">
        <f>VLOOKUP("Pattern",Data!$A:$Z,11,FALSE)</f>
        <v>10</v>
      </c>
      <c r="Y26" s="2555"/>
      <c r="Z26" s="910" t="str">
        <f>IF(VLOOKUP("Aux 1",Data!$A:$Z,11,FALSE)="ON","X ", "-")</f>
        <v>-</v>
      </c>
      <c r="AA26" s="910" t="str">
        <f>IF(VLOOKUP("Aux 2",Data!$A:$Z,11,FALSE)="ON","X ", "-")</f>
        <v>-</v>
      </c>
      <c r="AB26" s="910" t="str">
        <f>IF(VLOOKUP("Aux 3",Data!$A:$Z,11,FALSE)="ON","X ", "-")</f>
        <v>-</v>
      </c>
      <c r="AC26" s="910" t="str">
        <f>IF(VLOOKUP("Special 1",Data!$A:$Z,11,FALSE)="ON","X ", "-")</f>
        <v>-</v>
      </c>
      <c r="AD26" s="910" t="str">
        <f>IF(VLOOKUP("Special 2",Data!$A:$Z,11,FALSE)="ON","X ", "-")</f>
        <v>-</v>
      </c>
      <c r="AE26" s="910" t="str">
        <f>IF(VLOOKUP("Special 3",Data!$A:$Z,11,FALSE)="ON","X ", "-")</f>
        <v>-</v>
      </c>
      <c r="AF26" s="910" t="str">
        <f>IF(VLOOKUP("Special 4",Data!$A:$Z,11,FALSE)="ON","X ", "-")</f>
        <v>-</v>
      </c>
      <c r="AG26" s="910" t="str">
        <f>IF(VLOOKUP("Special 5",Data!$A:$Z,11,FALSE)="ON","X ", "-")</f>
        <v>-</v>
      </c>
      <c r="AH26" s="910" t="str">
        <f>IF(VLOOKUP("Special 6",Data!$A:$Z,11,FALSE)="ON","X ", "-")</f>
        <v>-</v>
      </c>
      <c r="AI26" s="910" t="str">
        <f>IF(VLOOKUP("Special 7",Data!$A:$Z,11,FALSE)="ON","X ", "-")</f>
        <v>-</v>
      </c>
      <c r="AJ26" s="910" t="str">
        <f>IF(VLOOKUP("Special 8",Data!$A:$Z,11,FALSE)="ON","X ", "-")</f>
        <v>-</v>
      </c>
      <c r="AK26" s="910" t="str">
        <f>VLOOKUP( "Pre1",Data!$A:$Z,11,FALSE)</f>
        <v>0</v>
      </c>
      <c r="AL26" s="911" t="str">
        <f>VLOOKUP("Pre2",Data!$A:$Z,11,FALSE)</f>
        <v>0</v>
      </c>
    </row>
    <row r="27" spans="1:38" ht="12" customHeight="1">
      <c r="A27" s="63">
        <v>50</v>
      </c>
      <c r="B27" s="50" t="s">
        <v>381</v>
      </c>
      <c r="C27" s="952" t="s">
        <v>34</v>
      </c>
      <c r="D27" s="955" t="s">
        <v>34</v>
      </c>
      <c r="E27" s="97"/>
      <c r="F27" s="45"/>
      <c r="G27" s="2604" t="s">
        <v>759</v>
      </c>
      <c r="H27" s="2604"/>
      <c r="I27" s="2604"/>
      <c r="J27" s="2605" t="str">
        <f>VLOOKUP("Queue Jump",Data!$A$1876:$E$1876,5,FALSE)</f>
        <v>OFF</v>
      </c>
      <c r="K27" s="2606">
        <f>VLOOKUP("PH/OLP #",Data!$A:$Y,2,FALSE)</f>
        <v>1</v>
      </c>
      <c r="L27" s="2604" t="s">
        <v>3754</v>
      </c>
      <c r="M27" s="2604"/>
      <c r="N27" s="2604"/>
      <c r="O27" s="2611" t="e">
        <f>VLOOKUP("Hold Dwell",Data!$A$1710:$E$1728,5,FALSE)</f>
        <v>#N/A</v>
      </c>
      <c r="P27" s="2612">
        <f>VLOOKUP("PH/OLP #",Data!$A:$Y,2,FALSE)</f>
        <v>1</v>
      </c>
      <c r="Q27" s="2604" t="s">
        <v>3758</v>
      </c>
      <c r="R27" s="2604"/>
      <c r="S27" s="2604"/>
      <c r="T27" s="2605" t="str">
        <f>VLOOKUP("Free Mode",Data!$A$1864:$E$1864,5,FALSE)</f>
        <v>ON</v>
      </c>
      <c r="U27" s="2606">
        <f>VLOOKUP("PH/OLP #",Data!$A:$Y,2,FALSE)</f>
        <v>1</v>
      </c>
      <c r="V27" s="1577"/>
      <c r="W27" s="63">
        <v>11</v>
      </c>
      <c r="X27" s="2555">
        <f>VLOOKUP("Pattern",Data!$A:$Z,12,FALSE)</f>
        <v>11</v>
      </c>
      <c r="Y27" s="2555"/>
      <c r="Z27" s="908" t="str">
        <f>IF(VLOOKUP("Aux 1",Data!$A:$Z,12,FALSE)="ON","X ", "-")</f>
        <v>-</v>
      </c>
      <c r="AA27" s="908" t="str">
        <f>IF(VLOOKUP("Aux 2",Data!$A:$Z,12,FALSE)="ON","X ", "-")</f>
        <v>-</v>
      </c>
      <c r="AB27" s="908" t="str">
        <f>IF(VLOOKUP("Aux 3",Data!$A:$Z,12,FALSE)="ON","X ", "-")</f>
        <v>-</v>
      </c>
      <c r="AC27" s="915" t="str">
        <f>IF(VLOOKUP("Special 1",Data!$A:$Z,12,FALSE)="ON","X ", "-")</f>
        <v>-</v>
      </c>
      <c r="AD27" s="915" t="str">
        <f>IF(VLOOKUP("Special 2",Data!$A:$Z,12,FALSE)="ON","X ", "-")</f>
        <v>-</v>
      </c>
      <c r="AE27" s="915" t="str">
        <f>IF(VLOOKUP("Special 3",Data!$A:$Z,12,FALSE)="ON","X ", "-")</f>
        <v>-</v>
      </c>
      <c r="AF27" s="915" t="str">
        <f>IF(VLOOKUP("Special 4",Data!$A:$Z,12,FALSE)="ON","X ", "-")</f>
        <v>-</v>
      </c>
      <c r="AG27" s="915" t="str">
        <f>IF(VLOOKUP("Special 5",Data!$A:$Z,12,FALSE)="ON","X ", "-")</f>
        <v>-</v>
      </c>
      <c r="AH27" s="915" t="str">
        <f>IF(VLOOKUP("Special 6",Data!$A:$Z,12,FALSE)="ON","X ", "-")</f>
        <v>-</v>
      </c>
      <c r="AI27" s="915" t="str">
        <f>IF(VLOOKUP("Special 7",Data!$A:$Z,12,FALSE)="ON","X ", "-")</f>
        <v>-</v>
      </c>
      <c r="AJ27" s="915" t="str">
        <f>IF(VLOOKUP("Special 8",Data!$A:$Z,12,FALSE)="ON","X ", "-")</f>
        <v>-</v>
      </c>
      <c r="AK27" s="908" t="str">
        <f>VLOOKUP( "Pre1",Data!$A:$Z,12,FALSE)</f>
        <v>0</v>
      </c>
      <c r="AL27" s="909" t="str">
        <f>VLOOKUP("Pre2",Data!$A:$Z,12,FALSE)</f>
        <v>0</v>
      </c>
    </row>
    <row r="28" spans="1:38" ht="12" customHeight="1">
      <c r="A28" s="63">
        <v>51</v>
      </c>
      <c r="B28" s="50" t="s">
        <v>382</v>
      </c>
      <c r="C28" s="952" t="s">
        <v>34</v>
      </c>
      <c r="D28" s="955" t="s">
        <v>34</v>
      </c>
      <c r="E28" s="97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577"/>
      <c r="W28" s="63">
        <v>12</v>
      </c>
      <c r="X28" s="2555">
        <f>VLOOKUP("Pattern",Data!$A:$Z,13,FALSE)</f>
        <v>12</v>
      </c>
      <c r="Y28" s="2555"/>
      <c r="Z28" s="910" t="str">
        <f>IF(VLOOKUP("Aux 1",Data!$A:$Z,13,FALSE)="ON","X ", "-")</f>
        <v>-</v>
      </c>
      <c r="AA28" s="910" t="str">
        <f>IF(VLOOKUP("Aux 2",Data!$A:$Z,13,FALSE)="ON","X ", "-")</f>
        <v>-</v>
      </c>
      <c r="AB28" s="910" t="str">
        <f>IF(VLOOKUP("Aux 3",Data!$A:$Z,13,FALSE)="ON","X ", "-")</f>
        <v>-</v>
      </c>
      <c r="AC28" s="910" t="str">
        <f>IF(VLOOKUP("Special 1",Data!$A:$Z,13,FALSE)="ON","X ", "-")</f>
        <v>-</v>
      </c>
      <c r="AD28" s="910" t="str">
        <f>IF(VLOOKUP("Special 2",Data!$A:$Z,13,FALSE)="ON","X ", "-")</f>
        <v>-</v>
      </c>
      <c r="AE28" s="910" t="str">
        <f>IF(VLOOKUP("Special 3",Data!$A:$Z,13,FALSE)="ON","X ", "-")</f>
        <v>-</v>
      </c>
      <c r="AF28" s="910" t="str">
        <f>IF(VLOOKUP("Special 4",Data!$A:$Z,13,FALSE)="ON","X ", "-")</f>
        <v>-</v>
      </c>
      <c r="AG28" s="910" t="str">
        <f>IF(VLOOKUP("Special 5",Data!$A:$Z,13,FALSE)="ON","X ", "-")</f>
        <v>-</v>
      </c>
      <c r="AH28" s="910" t="str">
        <f>IF(VLOOKUP("Special 6",Data!$A:$Z,13,FALSE)="ON","X ", "-")</f>
        <v>-</v>
      </c>
      <c r="AI28" s="910" t="str">
        <f>IF(VLOOKUP("Special 7",Data!$A:$Z,13,FALSE)="ON","X ", "-")</f>
        <v>-</v>
      </c>
      <c r="AJ28" s="910" t="str">
        <f>IF(VLOOKUP("Special 8",Data!$A:$Z,13,FALSE)="ON","X ", "-")</f>
        <v>-</v>
      </c>
      <c r="AK28" s="910" t="str">
        <f>VLOOKUP( "Pre1",Data!$A:$Z,13,FALSE)</f>
        <v>0</v>
      </c>
      <c r="AL28" s="911" t="str">
        <f>VLOOKUP("Pre2",Data!$A:$Z,13,FALSE)</f>
        <v>0</v>
      </c>
    </row>
    <row r="29" spans="1:38" ht="12" customHeight="1">
      <c r="A29" s="63">
        <v>52</v>
      </c>
      <c r="B29" s="50" t="s">
        <v>383</v>
      </c>
      <c r="C29" s="952" t="s">
        <v>34</v>
      </c>
      <c r="D29" s="955" t="s">
        <v>34</v>
      </c>
      <c r="E29" s="97"/>
      <c r="F29" s="45"/>
      <c r="G29" s="96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577"/>
      <c r="W29" s="63">
        <v>13</v>
      </c>
      <c r="X29" s="2555">
        <f>VLOOKUP("Pattern",Data!$A:$Z,14,FALSE)</f>
        <v>13</v>
      </c>
      <c r="Y29" s="2555"/>
      <c r="Z29" s="908" t="str">
        <f>IF(VLOOKUP("Aux 1",Data!$A:$Z,14,FALSE)="ON","X ", "-")</f>
        <v>-</v>
      </c>
      <c r="AA29" s="908" t="str">
        <f>IF(VLOOKUP("Aux 2",Data!$A:$Z,14,FALSE)="ON","X ", "-")</f>
        <v>-</v>
      </c>
      <c r="AB29" s="908" t="str">
        <f>IF(VLOOKUP("Aux 3",Data!$A:$Z,14,FALSE)="ON","X ", "-")</f>
        <v>-</v>
      </c>
      <c r="AC29" s="915" t="str">
        <f>IF(VLOOKUP("Special 1",Data!$A:$Z,14,FALSE)="ON","X ", "-")</f>
        <v>-</v>
      </c>
      <c r="AD29" s="915" t="str">
        <f>IF(VLOOKUP("Special 2",Data!$A:$Z,14,FALSE)="ON","X ", "-")</f>
        <v>-</v>
      </c>
      <c r="AE29" s="915" t="str">
        <f>IF(VLOOKUP("Special 3",Data!$A:$Z,14,FALSE)="ON","X ", "-")</f>
        <v>-</v>
      </c>
      <c r="AF29" s="915" t="str">
        <f>IF(VLOOKUP("Special 4",Data!$A:$Z,14,FALSE)="ON","X ", "-")</f>
        <v>-</v>
      </c>
      <c r="AG29" s="915" t="str">
        <f>IF(VLOOKUP("Special 5",Data!$A:$Z,14,FALSE)="ON","X ", "-")</f>
        <v>-</v>
      </c>
      <c r="AH29" s="915" t="str">
        <f>IF(VLOOKUP("Special 6",Data!$A:$Z,14,FALSE)="ON","X ", "-")</f>
        <v>-</v>
      </c>
      <c r="AI29" s="915" t="str">
        <f>IF(VLOOKUP("Special 7",Data!$A:$Z,14,FALSE)="ON","X ", "-")</f>
        <v>-</v>
      </c>
      <c r="AJ29" s="915" t="str">
        <f>IF(VLOOKUP("Special 8",Data!$A:$Z,14,FALSE)="ON","X ", "-")</f>
        <v>-</v>
      </c>
      <c r="AK29" s="908" t="str">
        <f>VLOOKUP( "Pre1",Data!$A:$Z,14,FALSE)</f>
        <v>0</v>
      </c>
      <c r="AL29" s="909" t="str">
        <f>VLOOKUP("Pre2",Data!$A:$Z,14,FALSE)</f>
        <v>0</v>
      </c>
    </row>
    <row r="30" spans="1:38" ht="12" customHeight="1">
      <c r="A30" s="63">
        <v>53</v>
      </c>
      <c r="B30" s="50" t="s">
        <v>384</v>
      </c>
      <c r="C30" s="952" t="s">
        <v>34</v>
      </c>
      <c r="D30" s="955" t="s">
        <v>34</v>
      </c>
      <c r="E30" s="97"/>
      <c r="F30" s="45"/>
      <c r="G30" s="966"/>
      <c r="H30" s="45"/>
      <c r="I30" s="45"/>
      <c r="J30" s="45"/>
      <c r="K30" s="45"/>
      <c r="L30" s="45"/>
      <c r="M30" s="119"/>
      <c r="N30" s="119"/>
      <c r="O30" s="119"/>
      <c r="P30" s="119"/>
      <c r="Q30" s="119"/>
      <c r="R30" s="45"/>
      <c r="S30" s="45"/>
      <c r="T30" s="45"/>
      <c r="U30" s="45"/>
      <c r="V30" s="1577"/>
      <c r="W30" s="63">
        <v>14</v>
      </c>
      <c r="X30" s="2555">
        <f>VLOOKUP("Pattern",Data!$A:$Z,15,FALSE)</f>
        <v>14</v>
      </c>
      <c r="Y30" s="2555"/>
      <c r="Z30" s="910" t="str">
        <f>IF(VLOOKUP("Aux 1",Data!$A:$Z,15,FALSE)="ON","X ", "-")</f>
        <v>-</v>
      </c>
      <c r="AA30" s="910" t="str">
        <f>IF(VLOOKUP("Aux 2",Data!$A:$Z,15,FALSE)="ON","X ", "-")</f>
        <v>-</v>
      </c>
      <c r="AB30" s="910" t="str">
        <f>IF(VLOOKUP("Aux 3",Data!$A:$Z,15,FALSE)="ON","X ", "-")</f>
        <v>-</v>
      </c>
      <c r="AC30" s="910" t="str">
        <f>IF(VLOOKUP("Special 1",Data!$A:$Z,15,FALSE)="ON","X ", "-")</f>
        <v>-</v>
      </c>
      <c r="AD30" s="910" t="str">
        <f>IF(VLOOKUP("Special 2",Data!$A:$Z,15,FALSE)="ON","X ", "-")</f>
        <v>-</v>
      </c>
      <c r="AE30" s="910" t="str">
        <f>IF(VLOOKUP("Special 3",Data!$A:$Z,15,FALSE)="ON","X ", "-")</f>
        <v>-</v>
      </c>
      <c r="AF30" s="910" t="str">
        <f>IF(VLOOKUP("Special 4",Data!$A:$Z,15,FALSE)="ON","X ", "-")</f>
        <v>-</v>
      </c>
      <c r="AG30" s="910" t="str">
        <f>IF(VLOOKUP("Special 5",Data!$A:$Z,15,FALSE)="ON","X ", "-")</f>
        <v>-</v>
      </c>
      <c r="AH30" s="910" t="str">
        <f>IF(VLOOKUP("Special 6",Data!$A:$Z,15,FALSE)="ON","X ", "-")</f>
        <v>-</v>
      </c>
      <c r="AI30" s="910" t="str">
        <f>IF(VLOOKUP("Special 7",Data!$A:$Z,15,FALSE)="ON","X ", "-")</f>
        <v>-</v>
      </c>
      <c r="AJ30" s="910" t="str">
        <f>IF(VLOOKUP("Special 8",Data!$A:$Z,15,FALSE)="ON","X ", "-")</f>
        <v>-</v>
      </c>
      <c r="AK30" s="910" t="str">
        <f>VLOOKUP( "Pre1",Data!$A:$Z,15,FALSE)</f>
        <v>0</v>
      </c>
      <c r="AL30" s="911" t="str">
        <f>VLOOKUP("Pre2",Data!$A:$Z,15,FALSE)</f>
        <v>0</v>
      </c>
    </row>
    <row r="31" spans="1:38" ht="12" customHeight="1">
      <c r="A31" s="63">
        <v>54</v>
      </c>
      <c r="B31" s="50" t="s">
        <v>385</v>
      </c>
      <c r="C31" s="952" t="s">
        <v>34</v>
      </c>
      <c r="D31" s="955" t="s">
        <v>34</v>
      </c>
      <c r="E31" s="97"/>
      <c r="F31" s="45"/>
      <c r="G31" s="966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577"/>
      <c r="W31" s="63">
        <v>15</v>
      </c>
      <c r="X31" s="2555">
        <f>VLOOKUP("Pattern",Data!$A:$Z,16,FALSE)</f>
        <v>15</v>
      </c>
      <c r="Y31" s="2555"/>
      <c r="Z31" s="908" t="str">
        <f>IF(VLOOKUP("Aux 1",Data!$A:$Z,16,FALSE)="ON","X ", "-")</f>
        <v>-</v>
      </c>
      <c r="AA31" s="908" t="str">
        <f>IF(VLOOKUP("Aux 2",Data!$A:$Z,16,FALSE)="ON","X ", "-")</f>
        <v>-</v>
      </c>
      <c r="AB31" s="908" t="str">
        <f>IF(VLOOKUP("Aux 3",Data!$A:$Z,16,FALSE)="ON","X ", "-")</f>
        <v>-</v>
      </c>
      <c r="AC31" s="915" t="str">
        <f>IF(VLOOKUP("Special 1",Data!$A:$Z,16,FALSE)="ON","X ", "-")</f>
        <v>-</v>
      </c>
      <c r="AD31" s="915" t="str">
        <f>IF(VLOOKUP("Special 2",Data!$A:$Z,16,FALSE)="ON","X ", "-")</f>
        <v>-</v>
      </c>
      <c r="AE31" s="915" t="str">
        <f>IF(VLOOKUP("Special 3",Data!$A:$Z,16,FALSE)="ON","X ", "-")</f>
        <v>-</v>
      </c>
      <c r="AF31" s="915" t="str">
        <f>IF(VLOOKUP("Special 4",Data!$A:$Z,16,FALSE)="ON","X ", "-")</f>
        <v>-</v>
      </c>
      <c r="AG31" s="915" t="str">
        <f>IF(VLOOKUP("Special 5",Data!$A:$Z,16,FALSE)="ON","X ", "-")</f>
        <v>-</v>
      </c>
      <c r="AH31" s="915" t="str">
        <f>IF(VLOOKUP("Special 6",Data!$A:$Z,16,FALSE)="ON","X ", "-")</f>
        <v>-</v>
      </c>
      <c r="AI31" s="915" t="str">
        <f>IF(VLOOKUP("Special 7",Data!$A:$Z,16,FALSE)="ON","X ", "-")</f>
        <v>-</v>
      </c>
      <c r="AJ31" s="915" t="str">
        <f>IF(VLOOKUP("Special 8",Data!$A:$Z,16,FALSE)="ON","X ", "-")</f>
        <v>-</v>
      </c>
      <c r="AK31" s="908" t="str">
        <f>VLOOKUP( "Pre1",Data!$A:$Z,16,FALSE)</f>
        <v>0</v>
      </c>
      <c r="AL31" s="909" t="str">
        <f>VLOOKUP("Pre2",Data!$A:$Z,16,FALSE)</f>
        <v>0</v>
      </c>
    </row>
    <row r="32" spans="1:38" ht="12" customHeight="1">
      <c r="A32" s="63">
        <v>55</v>
      </c>
      <c r="B32" s="50" t="s">
        <v>386</v>
      </c>
      <c r="C32" s="952" t="str">
        <f>IF(VLOOKUP("Event Enable",Data!$A:$DY,56,FALSE)="On", "X", "-")</f>
        <v>-</v>
      </c>
      <c r="D32" s="955" t="str">
        <f>IF(VLOOKUP("Alarm Enable",Data!$A:$DY,56,FALSE)="On", "X", "-")</f>
        <v>-</v>
      </c>
      <c r="E32" s="97"/>
      <c r="F32" s="45"/>
      <c r="G32" s="100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577"/>
      <c r="W32" s="87">
        <v>16</v>
      </c>
      <c r="X32" s="2555">
        <f>VLOOKUP("Pattern",Data!$A:$Z,17,FALSE)</f>
        <v>0</v>
      </c>
      <c r="Y32" s="2555"/>
      <c r="Z32" s="910" t="str">
        <f>IF(VLOOKUP("Aux 1",Data!$A:$Z,17,FALSE)="ON","X ", "-")</f>
        <v>-</v>
      </c>
      <c r="AA32" s="910" t="str">
        <f>IF(VLOOKUP("Aux 2",Data!$A:$Z,17,FALSE)="ON","X ", "-")</f>
        <v>-</v>
      </c>
      <c r="AB32" s="910" t="str">
        <f>IF(VLOOKUP("Aux 3",Data!$A:$Z,17,FALSE)="ON","X ", "-")</f>
        <v>-</v>
      </c>
      <c r="AC32" s="910" t="str">
        <f>IF(VLOOKUP("Special 1",Data!$A:$Z,17,FALSE)="ON","X ", "-")</f>
        <v>-</v>
      </c>
      <c r="AD32" s="910" t="str">
        <f>IF(VLOOKUP("Special 2",Data!$A:$Z,17,FALSE)="ON","X ", "-")</f>
        <v>-</v>
      </c>
      <c r="AE32" s="910" t="str">
        <f>IF(VLOOKUP("Special 3",Data!$A:$Z,17,FALSE)="ON","X ", "-")</f>
        <v>-</v>
      </c>
      <c r="AF32" s="910" t="str">
        <f>IF(VLOOKUP("Special 4",Data!$A:$Z,17,FALSE)="ON","X ", "-")</f>
        <v>-</v>
      </c>
      <c r="AG32" s="910" t="str">
        <f>IF(VLOOKUP("Special 5",Data!$A:$Z,17,FALSE)="ON","X ", "-")</f>
        <v>-</v>
      </c>
      <c r="AH32" s="910" t="str">
        <f>IF(VLOOKUP("Special 6",Data!$A:$Z,17,FALSE)="ON","X ", "-")</f>
        <v>-</v>
      </c>
      <c r="AI32" s="910" t="str">
        <f>IF(VLOOKUP("Special 7",Data!$A:$Z,17,FALSE)="ON","X ", "-")</f>
        <v>-</v>
      </c>
      <c r="AJ32" s="910" t="str">
        <f>IF(VLOOKUP("Special 8",Data!$A:$Z,17,FALSE)="ON","X ", "-")</f>
        <v>-</v>
      </c>
      <c r="AK32" s="910" t="str">
        <f>VLOOKUP( "Pre1",Data!$A:$Z,17,FALSE)</f>
        <v>0</v>
      </c>
      <c r="AL32" s="911" t="str">
        <f>VLOOKUP("Pre2",Data!$A:$Z,17,FALSE)</f>
        <v>0</v>
      </c>
    </row>
    <row r="33" spans="1:38" ht="12" customHeight="1">
      <c r="A33" s="63">
        <v>56</v>
      </c>
      <c r="B33" s="50" t="s">
        <v>387</v>
      </c>
      <c r="C33" s="952" t="str">
        <f>IF(VLOOKUP("Event Enable",Data!$A:$DY,57,FALSE)="On", "X", "-")</f>
        <v>-</v>
      </c>
      <c r="D33" s="955" t="str">
        <f>IF(VLOOKUP("Alarm Enable",Data!$A:$DY,57,FALSE)="On", "X", "-")</f>
        <v>-</v>
      </c>
      <c r="E33" s="9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577"/>
      <c r="W33" s="63">
        <v>54</v>
      </c>
      <c r="X33" s="2555">
        <f>VLOOKUP("Pattern",Data!$A:$BC,55,FALSE)</f>
        <v>254</v>
      </c>
      <c r="Y33" s="2555"/>
      <c r="Z33" s="908" t="str">
        <f>IF(VLOOKUP("Aux 1",Data!$A:$BC,55,FALSE)="ON","X ", "-")</f>
        <v>-</v>
      </c>
      <c r="AA33" s="908" t="str">
        <f>IF(VLOOKUP("Aux 2",Data!$A:$BC,55,FALSE)="ON","X ", "-")</f>
        <v>-</v>
      </c>
      <c r="AB33" s="908" t="str">
        <f>IF(VLOOKUP("Aux 3",Data!$A:$BC,55,FALSE)="ON","X ", "-")</f>
        <v>-</v>
      </c>
      <c r="AC33" s="915" t="str">
        <f>IF(VLOOKUP("Special 1",Data!$A:$BC,55,FALSE)="ON","X ", "-")</f>
        <v>-</v>
      </c>
      <c r="AD33" s="915" t="str">
        <f>IF(VLOOKUP("Special 2",Data!$A:$BC,55,FALSE)="ON","X ", "-")</f>
        <v>-</v>
      </c>
      <c r="AE33" s="915" t="str">
        <f>IF(VLOOKUP("Special 3",Data!$A:$BC,55,FALSE)="ON","X ", "-")</f>
        <v>-</v>
      </c>
      <c r="AF33" s="915" t="str">
        <f>IF(VLOOKUP("Special 4",Data!$A:$BC,55,FALSE)="ON","X ", "-")</f>
        <v>-</v>
      </c>
      <c r="AG33" s="915" t="str">
        <f>IF(VLOOKUP("Special 5",Data!$A:$BC,55,FALSE)="ON","X ", "-")</f>
        <v>-</v>
      </c>
      <c r="AH33" s="915" t="str">
        <f>IF(VLOOKUP("Special 6",Data!$A:$BC,55,FALSE)="ON","X ", "-")</f>
        <v>-</v>
      </c>
      <c r="AI33" s="915" t="str">
        <f>IF(VLOOKUP("Special 7",Data!$A:$BC,55,FALSE)="ON","X ", "-")</f>
        <v>-</v>
      </c>
      <c r="AJ33" s="915" t="str">
        <f>IF(VLOOKUP("Special 8",Data!$A:$BC,55,FALSE)="ON","X ", "-")</f>
        <v>-</v>
      </c>
      <c r="AK33" s="908" t="str">
        <f>VLOOKUP( "Pre1",Data!$A:$BC,55,FALSE)</f>
        <v>0</v>
      </c>
      <c r="AL33" s="909" t="str">
        <f>VLOOKUP("Pre2",Data!$A:$BC,55,FALSE)</f>
        <v>0</v>
      </c>
    </row>
    <row r="34" spans="1:38" ht="12" customHeight="1" thickBot="1">
      <c r="A34" s="63">
        <v>57</v>
      </c>
      <c r="B34" s="50" t="s">
        <v>388</v>
      </c>
      <c r="C34" s="952" t="str">
        <f>IF(VLOOKUP("Event Enable",Data!$A:$DY,58,FALSE)="On", "X", "-")</f>
        <v>-</v>
      </c>
      <c r="D34" s="955" t="str">
        <f>IF(VLOOKUP("Alarm Enable",Data!$A:$DY,58,FALSE)="On", "X", "-")</f>
        <v>-</v>
      </c>
      <c r="E34" s="97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577"/>
      <c r="W34" s="158">
        <v>55</v>
      </c>
      <c r="X34" s="2556">
        <f>VLOOKUP("Pattern",Data!$A:$BE,56,FALSE)</f>
        <v>0</v>
      </c>
      <c r="Y34" s="2556"/>
      <c r="Z34" s="912" t="str">
        <f>IF(VLOOKUP("Aux 1",Data!$A:$BE,56,FALSE)="ON","X ", "-")</f>
        <v>-</v>
      </c>
      <c r="AA34" s="912" t="str">
        <f>IF(VLOOKUP("Aux 2",Data!$A:$BE,56,FALSE)="ON","X ", "-")</f>
        <v>-</v>
      </c>
      <c r="AB34" s="912" t="str">
        <f>IF(VLOOKUP("Aux 3",Data!$A:$BE,56,FALSE)="ON","X ", "-")</f>
        <v>-</v>
      </c>
      <c r="AC34" s="912" t="str">
        <f>IF(VLOOKUP("Special 1",Data!$A:$BE,56,FALSE)="ON","X ", "-")</f>
        <v>-</v>
      </c>
      <c r="AD34" s="912" t="str">
        <f>IF(VLOOKUP("Special 2",Data!$A:$BE,56,FALSE)="ON","X ", "-")</f>
        <v>-</v>
      </c>
      <c r="AE34" s="912" t="str">
        <f>IF(VLOOKUP("Special 3",Data!$A:$BE,56,FALSE)="ON","X ", "-")</f>
        <v>-</v>
      </c>
      <c r="AF34" s="912" t="str">
        <f>IF(VLOOKUP("Special 4",Data!$A:$BE,56,FALSE)="ON","X ", "-")</f>
        <v>-</v>
      </c>
      <c r="AG34" s="912" t="str">
        <f>IF(VLOOKUP("Special 5",Data!$A:$BE,56,FALSE)="ON","X ", "-")</f>
        <v>-</v>
      </c>
      <c r="AH34" s="912" t="str">
        <f>IF(VLOOKUP("Special 6",Data!$A:$BE,56,FALSE)="ON","X ", "-")</f>
        <v>-</v>
      </c>
      <c r="AI34" s="912" t="str">
        <f>IF(VLOOKUP("Special 7",Data!$A:$BE,56,FALSE)="ON","X ", "-")</f>
        <v>-</v>
      </c>
      <c r="AJ34" s="912" t="str">
        <f>IF(VLOOKUP("Special 8",Data!$A:$BE,56,FALSE)="ON","X ", "-")</f>
        <v>-</v>
      </c>
      <c r="AK34" s="913" t="str">
        <f>VLOOKUP( "Pre1",Data!$A:$BE,56,FALSE)</f>
        <v>0</v>
      </c>
      <c r="AL34" s="914" t="str">
        <f>VLOOKUP("Pre2",Data!$A:$BE,56,FALSE)</f>
        <v>0</v>
      </c>
    </row>
    <row r="35" spans="1:38" ht="12" customHeight="1">
      <c r="A35" s="63">
        <v>58</v>
      </c>
      <c r="B35" s="50" t="s">
        <v>389</v>
      </c>
      <c r="C35" s="952" t="str">
        <f>IF(VLOOKUP("Event Enable",Data!$A:$DY,59,FALSE)="On", "X", "-")</f>
        <v>-</v>
      </c>
      <c r="D35" s="955" t="str">
        <f>IF(VLOOKUP("Alarm Enable",Data!$A:$DY,59,FALSE)="On", "X", "-")</f>
        <v>-</v>
      </c>
      <c r="E35" s="9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1577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974"/>
    </row>
    <row r="36" spans="1:38" ht="12" customHeight="1">
      <c r="A36" s="87">
        <v>59</v>
      </c>
      <c r="B36" s="204" t="s">
        <v>707</v>
      </c>
      <c r="C36" s="952" t="s">
        <v>34</v>
      </c>
      <c r="D36" s="955" t="s">
        <v>34</v>
      </c>
      <c r="E36" s="97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1577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974"/>
    </row>
    <row r="37" spans="1:38" ht="12" customHeight="1">
      <c r="A37" s="87">
        <v>60</v>
      </c>
      <c r="B37" s="121" t="s">
        <v>364</v>
      </c>
      <c r="C37" s="952" t="s">
        <v>34</v>
      </c>
      <c r="D37" s="955" t="s">
        <v>34</v>
      </c>
      <c r="E37" s="97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577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974"/>
    </row>
    <row r="38" spans="1:38" ht="12" customHeight="1" thickBot="1">
      <c r="A38" s="87">
        <v>63</v>
      </c>
      <c r="B38" s="121" t="s">
        <v>3956</v>
      </c>
      <c r="C38" s="952" t="str">
        <f>IF(VLOOKUP("Event Enable",Data!$A:$DY,64,FALSE)="On", "X", "-")</f>
        <v>-</v>
      </c>
      <c r="D38" s="955" t="str">
        <f>IF(VLOOKUP("Alarm Enable",Data!$A:$DY,64,FALSE)="On", "X", "-")</f>
        <v>-</v>
      </c>
      <c r="E38" s="123"/>
      <c r="F38" s="45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1580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45"/>
      <c r="AI38" s="45"/>
      <c r="AJ38" s="45"/>
      <c r="AK38" s="45"/>
      <c r="AL38" s="974"/>
    </row>
    <row r="39" spans="1:38" ht="12" customHeight="1">
      <c r="A39" s="87">
        <v>73</v>
      </c>
      <c r="B39" s="121" t="s">
        <v>708</v>
      </c>
      <c r="C39" s="952" t="s">
        <v>34</v>
      </c>
      <c r="D39" s="955" t="s">
        <v>34</v>
      </c>
      <c r="E39" s="97"/>
      <c r="F39" s="2567" t="s">
        <v>648</v>
      </c>
      <c r="G39" s="2568"/>
      <c r="H39" s="2568"/>
      <c r="I39" s="2568"/>
      <c r="J39" s="2568"/>
      <c r="K39" s="2568"/>
      <c r="L39" s="2569"/>
      <c r="M39" s="156"/>
      <c r="N39" s="156"/>
      <c r="O39" s="156"/>
      <c r="P39" s="156"/>
      <c r="Q39" s="153"/>
      <c r="R39" s="154"/>
      <c r="S39" s="124"/>
      <c r="T39" s="124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554"/>
      <c r="AH39" s="150"/>
      <c r="AI39" s="150"/>
      <c r="AJ39" s="150"/>
      <c r="AK39" s="150"/>
      <c r="AL39" s="151"/>
    </row>
    <row r="40" spans="1:38" ht="12" customHeight="1">
      <c r="A40" s="63">
        <v>81</v>
      </c>
      <c r="B40" s="50" t="s">
        <v>709</v>
      </c>
      <c r="C40" s="1124" t="s">
        <v>34</v>
      </c>
      <c r="D40" s="1125" t="s">
        <v>34</v>
      </c>
      <c r="E40" s="97"/>
      <c r="F40" s="2582" t="s">
        <v>651</v>
      </c>
      <c r="G40" s="2442"/>
      <c r="H40" s="2442"/>
      <c r="I40" s="2442"/>
      <c r="J40" s="2442"/>
      <c r="K40" s="2442"/>
      <c r="L40" s="916" t="str">
        <f>VLOOKUP("Loc Pattern Event Enable",Data!$A:$C,2,FALSE)</f>
        <v>ON</v>
      </c>
      <c r="M40" s="155"/>
      <c r="N40" s="155"/>
      <c r="O40" s="155"/>
      <c r="P40" s="155"/>
      <c r="Q40" s="156"/>
      <c r="R40" s="156"/>
      <c r="S40" s="30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49"/>
      <c r="AI40" s="149"/>
      <c r="AJ40" s="97"/>
      <c r="AK40" s="97"/>
      <c r="AL40" s="125"/>
    </row>
    <row r="41" spans="1:38" ht="12" customHeight="1">
      <c r="A41" s="86"/>
      <c r="B41" s="1121"/>
      <c r="C41" s="1122"/>
      <c r="D41" s="1123"/>
      <c r="E41" s="97"/>
      <c r="F41" s="2582" t="s">
        <v>652</v>
      </c>
      <c r="G41" s="2442"/>
      <c r="H41" s="2442"/>
      <c r="I41" s="2442"/>
      <c r="J41" s="2442"/>
      <c r="K41" s="2442"/>
      <c r="L41" s="916" t="str">
        <f>VLOOKUP("Tx Local Alarms",Data!$A:$C,2,FALSE)</f>
        <v>OFF</v>
      </c>
      <c r="M41" s="155"/>
      <c r="N41" s="155"/>
      <c r="O41" s="155"/>
      <c r="P41" s="155"/>
      <c r="Q41" s="156"/>
      <c r="R41" s="156"/>
      <c r="S41" s="30"/>
      <c r="T41" s="156"/>
      <c r="U41" s="156"/>
      <c r="V41" s="156"/>
      <c r="W41" s="156"/>
      <c r="X41" s="2686" t="s">
        <v>4001</v>
      </c>
      <c r="Y41" s="2686"/>
      <c r="Z41" s="2686"/>
      <c r="AA41" s="2686"/>
      <c r="AB41" s="2686"/>
      <c r="AC41" s="2686"/>
      <c r="AD41" s="2686"/>
      <c r="AE41" s="2686"/>
      <c r="AF41" s="2686"/>
      <c r="AG41" s="2686"/>
      <c r="AH41" s="2686"/>
      <c r="AI41" s="97"/>
      <c r="AJ41" s="97"/>
      <c r="AK41" s="97"/>
      <c r="AL41" s="125"/>
    </row>
    <row r="42" spans="1:38" ht="12" customHeight="1">
      <c r="A42" s="63"/>
      <c r="B42" s="50"/>
      <c r="C42" s="952"/>
      <c r="D42" s="955"/>
      <c r="E42" s="97"/>
      <c r="F42" s="2582" t="s">
        <v>649</v>
      </c>
      <c r="G42" s="2442"/>
      <c r="H42" s="2442"/>
      <c r="I42" s="2442"/>
      <c r="J42" s="2442"/>
      <c r="K42" s="2442"/>
      <c r="L42" s="916">
        <f>VLOOKUP("User Assign Alarm 1",Data!$A:$C,2,FALSE)</f>
        <v>0</v>
      </c>
      <c r="M42" s="155"/>
      <c r="N42" s="155"/>
      <c r="O42" s="155"/>
      <c r="P42" s="155"/>
      <c r="Q42" s="156"/>
      <c r="R42" s="156"/>
      <c r="S42" s="30"/>
      <c r="T42" s="156"/>
      <c r="U42" s="156"/>
      <c r="V42" s="156"/>
      <c r="W42" s="156"/>
      <c r="X42" s="2686"/>
      <c r="Y42" s="2686"/>
      <c r="Z42" s="2686"/>
      <c r="AA42" s="2686"/>
      <c r="AB42" s="2686"/>
      <c r="AC42" s="2686"/>
      <c r="AD42" s="2686"/>
      <c r="AE42" s="2686"/>
      <c r="AF42" s="2686"/>
      <c r="AG42" s="2686"/>
      <c r="AH42" s="2686"/>
      <c r="AI42" s="97"/>
      <c r="AJ42" s="2578" t="s">
        <v>647</v>
      </c>
      <c r="AK42" s="2578"/>
      <c r="AL42" s="2579"/>
    </row>
    <row r="43" spans="1:38" ht="12" customHeight="1">
      <c r="A43" s="63"/>
      <c r="B43" s="50"/>
      <c r="C43" s="952"/>
      <c r="D43" s="955"/>
      <c r="E43" s="97"/>
      <c r="F43" s="2582" t="s">
        <v>650</v>
      </c>
      <c r="G43" s="2442"/>
      <c r="H43" s="2442"/>
      <c r="I43" s="2442"/>
      <c r="J43" s="2442"/>
      <c r="K43" s="2442"/>
      <c r="L43" s="916">
        <f>VLOOKUP("User Assign Alarm 2",Data!$A:$C,2,FALSE)</f>
        <v>0</v>
      </c>
      <c r="M43" s="155"/>
      <c r="N43" s="155"/>
      <c r="O43" s="155"/>
      <c r="P43" s="155"/>
      <c r="Q43" s="156"/>
      <c r="R43" s="156"/>
      <c r="S43" s="30"/>
      <c r="T43" s="156"/>
      <c r="U43" s="156"/>
      <c r="V43" s="156"/>
      <c r="W43" s="156"/>
      <c r="X43" s="2686"/>
      <c r="Y43" s="2686"/>
      <c r="Z43" s="2686"/>
      <c r="AA43" s="2686"/>
      <c r="AB43" s="2686"/>
      <c r="AC43" s="2686"/>
      <c r="AD43" s="2686"/>
      <c r="AE43" s="2686"/>
      <c r="AF43" s="2686"/>
      <c r="AG43" s="2686"/>
      <c r="AH43" s="2686"/>
      <c r="AI43" s="97"/>
      <c r="AJ43" s="2580">
        <f ca="1">TODAY()</f>
        <v>45364</v>
      </c>
      <c r="AK43" s="2580"/>
      <c r="AL43" s="2581"/>
    </row>
    <row r="44" spans="1:38" ht="12" customHeight="1" thickBot="1">
      <c r="A44" s="87"/>
      <c r="B44" s="204"/>
      <c r="C44" s="952"/>
      <c r="D44" s="955"/>
      <c r="E44" s="97"/>
      <c r="F44" s="2585" t="s">
        <v>653</v>
      </c>
      <c r="G44" s="2586"/>
      <c r="H44" s="2586"/>
      <c r="I44" s="2586"/>
      <c r="J44" s="2586"/>
      <c r="K44" s="2586"/>
      <c r="L44" s="917" t="str">
        <f>VLOOKUP("Preempt Event Enable",Data!$A:$C,2,FALSE)</f>
        <v>ON</v>
      </c>
      <c r="M44" s="155"/>
      <c r="N44" s="155"/>
      <c r="O44" s="155"/>
      <c r="P44" s="155"/>
      <c r="Q44" s="156"/>
      <c r="R44" s="156"/>
      <c r="S44" s="30"/>
      <c r="T44" s="156"/>
      <c r="U44" s="156"/>
      <c r="V44" s="156"/>
      <c r="W44" s="156"/>
      <c r="X44" s="2686"/>
      <c r="Y44" s="2686"/>
      <c r="Z44" s="2686"/>
      <c r="AA44" s="2686"/>
      <c r="AB44" s="2686"/>
      <c r="AC44" s="2686"/>
      <c r="AD44" s="2686"/>
      <c r="AE44" s="2686"/>
      <c r="AF44" s="2686"/>
      <c r="AG44" s="2686"/>
      <c r="AH44" s="2686"/>
      <c r="AI44" s="97"/>
      <c r="AJ44" s="97"/>
      <c r="AK44" s="97"/>
      <c r="AL44" s="125"/>
    </row>
    <row r="45" spans="1:38" ht="12" customHeight="1" thickBot="1">
      <c r="A45" s="87"/>
      <c r="B45" s="121"/>
      <c r="C45" s="952"/>
      <c r="D45" s="955"/>
      <c r="E45" s="97"/>
      <c r="F45" s="155"/>
      <c r="G45" s="155"/>
      <c r="H45" s="155"/>
      <c r="I45" s="155"/>
      <c r="J45" s="155"/>
      <c r="K45" s="155"/>
      <c r="L45" s="155"/>
      <c r="M45" s="155"/>
      <c r="N45" s="155"/>
      <c r="O45" s="156"/>
      <c r="P45" s="156"/>
      <c r="Q45" s="156"/>
      <c r="R45" s="156"/>
      <c r="S45" s="30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97"/>
      <c r="AI45" s="97"/>
      <c r="AJ45" s="97"/>
      <c r="AK45" s="97"/>
      <c r="AL45" s="125"/>
    </row>
    <row r="46" spans="1:38" ht="12" customHeight="1">
      <c r="A46" s="87"/>
      <c r="B46" s="121"/>
      <c r="C46" s="952"/>
      <c r="D46" s="955"/>
      <c r="E46" s="97"/>
      <c r="F46" s="155"/>
      <c r="G46" s="155"/>
      <c r="H46" s="155"/>
      <c r="I46" s="155"/>
      <c r="J46" s="155"/>
      <c r="K46" s="2570" t="s">
        <v>654</v>
      </c>
      <c r="L46" s="2570"/>
      <c r="M46" s="2583">
        <f>Data!B118</f>
        <v>0</v>
      </c>
      <c r="N46" s="2583"/>
      <c r="O46" s="2583"/>
      <c r="P46" s="156"/>
      <c r="Q46" s="2589" t="s">
        <v>661</v>
      </c>
      <c r="R46" s="2589"/>
      <c r="S46" s="2587" t="str">
        <f>Data!B124</f>
        <v>Alpha @ Beta</v>
      </c>
      <c r="T46" s="2587"/>
      <c r="U46" s="2587"/>
      <c r="V46" s="2587"/>
      <c r="W46" s="2587"/>
      <c r="X46" s="2587"/>
      <c r="Y46" s="2587"/>
      <c r="Z46" s="2587"/>
      <c r="AA46" s="2587"/>
      <c r="AB46" s="2587"/>
      <c r="AC46" s="2587"/>
      <c r="AD46" s="2587"/>
      <c r="AE46" s="2587"/>
      <c r="AF46" s="2587"/>
      <c r="AG46" s="2587"/>
      <c r="AH46" s="148"/>
      <c r="AI46" s="125"/>
      <c r="AJ46" s="2572" t="s">
        <v>3964</v>
      </c>
      <c r="AK46" s="2573"/>
      <c r="AL46" s="2574"/>
    </row>
    <row r="47" spans="1:38" ht="12" customHeight="1" thickBot="1">
      <c r="A47" s="64"/>
      <c r="B47" s="126"/>
      <c r="C47" s="956"/>
      <c r="D47" s="957"/>
      <c r="E47" s="112"/>
      <c r="F47" s="206"/>
      <c r="G47" s="206"/>
      <c r="H47" s="206"/>
      <c r="I47" s="206"/>
      <c r="J47" s="206"/>
      <c r="K47" s="2571"/>
      <c r="L47" s="2571"/>
      <c r="M47" s="2584"/>
      <c r="N47" s="2584"/>
      <c r="O47" s="2584"/>
      <c r="P47" s="207"/>
      <c r="Q47" s="2590"/>
      <c r="R47" s="2590"/>
      <c r="S47" s="2588"/>
      <c r="T47" s="2588"/>
      <c r="U47" s="2588"/>
      <c r="V47" s="2588"/>
      <c r="W47" s="2588"/>
      <c r="X47" s="2588"/>
      <c r="Y47" s="2588"/>
      <c r="Z47" s="2588"/>
      <c r="AA47" s="2588"/>
      <c r="AB47" s="2588"/>
      <c r="AC47" s="2588"/>
      <c r="AD47" s="2588"/>
      <c r="AE47" s="2588"/>
      <c r="AF47" s="2588"/>
      <c r="AG47" s="2588"/>
      <c r="AH47" s="208"/>
      <c r="AI47" s="209"/>
      <c r="AJ47" s="2575"/>
      <c r="AK47" s="2576"/>
      <c r="AL47" s="2577"/>
    </row>
    <row r="49" spans="1:37" ht="21.9" customHeight="1">
      <c r="A49" s="127"/>
    </row>
    <row r="50" spans="1:37" ht="21.9" customHeight="1">
      <c r="AH50" s="129"/>
      <c r="AI50" s="129"/>
      <c r="AJ50" s="129"/>
      <c r="AK50" s="129"/>
    </row>
  </sheetData>
  <sheetProtection selectLockedCells="1" selectUnlockedCells="1"/>
  <dataConsolidate/>
  <mergeCells count="156">
    <mergeCell ref="L8:M8"/>
    <mergeCell ref="L15:M15"/>
    <mergeCell ref="L22:M22"/>
    <mergeCell ref="T27:U27"/>
    <mergeCell ref="Q8:T8"/>
    <mergeCell ref="Q15:T15"/>
    <mergeCell ref="Q22:T22"/>
    <mergeCell ref="G27:I27"/>
    <mergeCell ref="J27:K27"/>
    <mergeCell ref="L27:N27"/>
    <mergeCell ref="O27:P27"/>
    <mergeCell ref="Q27:S27"/>
    <mergeCell ref="T25:U25"/>
    <mergeCell ref="G26:I26"/>
    <mergeCell ref="J26:K26"/>
    <mergeCell ref="L26:N26"/>
    <mergeCell ref="O26:P26"/>
    <mergeCell ref="Q26:S26"/>
    <mergeCell ref="T26:U26"/>
    <mergeCell ref="G25:I25"/>
    <mergeCell ref="J25:K25"/>
    <mergeCell ref="L25:N25"/>
    <mergeCell ref="O25:P25"/>
    <mergeCell ref="Q25:S25"/>
    <mergeCell ref="T20:U20"/>
    <mergeCell ref="G23:I23"/>
    <mergeCell ref="J23:K23"/>
    <mergeCell ref="L23:N23"/>
    <mergeCell ref="O23:P23"/>
    <mergeCell ref="U23:U24"/>
    <mergeCell ref="G24:I24"/>
    <mergeCell ref="J24:K24"/>
    <mergeCell ref="L24:N24"/>
    <mergeCell ref="O24:P24"/>
    <mergeCell ref="Q24:T24"/>
    <mergeCell ref="G20:I20"/>
    <mergeCell ref="J20:K20"/>
    <mergeCell ref="L20:N20"/>
    <mergeCell ref="O20:P20"/>
    <mergeCell ref="Q20:S20"/>
    <mergeCell ref="T18:U18"/>
    <mergeCell ref="G19:I19"/>
    <mergeCell ref="J19:K19"/>
    <mergeCell ref="L19:N19"/>
    <mergeCell ref="O19:P19"/>
    <mergeCell ref="Q19:S19"/>
    <mergeCell ref="T19:U19"/>
    <mergeCell ref="G18:I18"/>
    <mergeCell ref="J18:K18"/>
    <mergeCell ref="L18:N18"/>
    <mergeCell ref="O18:P18"/>
    <mergeCell ref="Q18:S18"/>
    <mergeCell ref="G16:I16"/>
    <mergeCell ref="J16:K16"/>
    <mergeCell ref="L16:N16"/>
    <mergeCell ref="O16:P16"/>
    <mergeCell ref="U16:U17"/>
    <mergeCell ref="G17:I17"/>
    <mergeCell ref="J17:K17"/>
    <mergeCell ref="L17:N17"/>
    <mergeCell ref="O17:P17"/>
    <mergeCell ref="Q17:T17"/>
    <mergeCell ref="T12:U12"/>
    <mergeCell ref="G13:I13"/>
    <mergeCell ref="J13:K13"/>
    <mergeCell ref="L13:N13"/>
    <mergeCell ref="O13:P13"/>
    <mergeCell ref="Q13:S13"/>
    <mergeCell ref="T13:U13"/>
    <mergeCell ref="G12:I12"/>
    <mergeCell ref="J12:K12"/>
    <mergeCell ref="L12:N12"/>
    <mergeCell ref="O12:P12"/>
    <mergeCell ref="Q12:S12"/>
    <mergeCell ref="Q10:T10"/>
    <mergeCell ref="G11:I11"/>
    <mergeCell ref="J11:K11"/>
    <mergeCell ref="L11:N11"/>
    <mergeCell ref="O11:P11"/>
    <mergeCell ref="Q11:S11"/>
    <mergeCell ref="T11:U11"/>
    <mergeCell ref="U9:U10"/>
    <mergeCell ref="G9:I9"/>
    <mergeCell ref="J9:K9"/>
    <mergeCell ref="L9:N9"/>
    <mergeCell ref="O9:P9"/>
    <mergeCell ref="G10:I10"/>
    <mergeCell ref="J10:K10"/>
    <mergeCell ref="L10:N10"/>
    <mergeCell ref="O10:P10"/>
    <mergeCell ref="Q1:T1"/>
    <mergeCell ref="T4:U4"/>
    <mergeCell ref="T5:U5"/>
    <mergeCell ref="T6:U6"/>
    <mergeCell ref="U2:U3"/>
    <mergeCell ref="L5:N5"/>
    <mergeCell ref="O2:P2"/>
    <mergeCell ref="O3:P3"/>
    <mergeCell ref="O4:P4"/>
    <mergeCell ref="O5:P5"/>
    <mergeCell ref="L1:M1"/>
    <mergeCell ref="G2:I2"/>
    <mergeCell ref="J2:K2"/>
    <mergeCell ref="L6:N6"/>
    <mergeCell ref="O6:P6"/>
    <mergeCell ref="Q3:T3"/>
    <mergeCell ref="J3:K3"/>
    <mergeCell ref="J4:K4"/>
    <mergeCell ref="J5:K5"/>
    <mergeCell ref="J6:K6"/>
    <mergeCell ref="G3:I3"/>
    <mergeCell ref="G4:I4"/>
    <mergeCell ref="G5:I5"/>
    <mergeCell ref="G6:I6"/>
    <mergeCell ref="L2:N2"/>
    <mergeCell ref="L3:N3"/>
    <mergeCell ref="L4:N4"/>
    <mergeCell ref="Q4:S4"/>
    <mergeCell ref="Q5:S5"/>
    <mergeCell ref="Q6:S6"/>
    <mergeCell ref="F39:L39"/>
    <mergeCell ref="K46:L47"/>
    <mergeCell ref="AJ46:AL47"/>
    <mergeCell ref="AJ42:AL42"/>
    <mergeCell ref="AJ43:AL43"/>
    <mergeCell ref="F40:K40"/>
    <mergeCell ref="F41:K41"/>
    <mergeCell ref="F42:K42"/>
    <mergeCell ref="M46:O47"/>
    <mergeCell ref="F43:K43"/>
    <mergeCell ref="F44:K44"/>
    <mergeCell ref="S46:AG47"/>
    <mergeCell ref="Q46:R47"/>
    <mergeCell ref="X41:AH44"/>
    <mergeCell ref="X33:Y33"/>
    <mergeCell ref="X34:Y34"/>
    <mergeCell ref="V1:V38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W15:AL15"/>
    <mergeCell ref="X16:Y16"/>
    <mergeCell ref="X17:Y17"/>
    <mergeCell ref="X18:Y18"/>
    <mergeCell ref="X19:Y19"/>
    <mergeCell ref="X20:Y20"/>
    <mergeCell ref="X21:Y21"/>
    <mergeCell ref="X22:Y22"/>
    <mergeCell ref="X23:Y23"/>
    <mergeCell ref="X1:AF1"/>
  </mergeCells>
  <conditionalFormatting sqref="Q39 C2:D47">
    <cfRule type="cellIs" dxfId="2" priority="11" stopIfTrue="1" operator="equal">
      <formula>0</formula>
    </cfRule>
  </conditionalFormatting>
  <conditionalFormatting sqref="AC17:AL34">
    <cfRule type="cellIs" dxfId="1" priority="2" stopIfTrue="1" operator="equal">
      <formula>0</formula>
    </cfRule>
  </conditionalFormatting>
  <conditionalFormatting sqref="Z17:AB34">
    <cfRule type="cellIs" dxfId="0" priority="1" stopIfTrue="1" operator="equal">
      <formula>0</formula>
    </cfRule>
  </conditionalFormatting>
  <printOptions horizontalCentered="1" verticalCentered="1"/>
  <pageMargins left="0.12" right="0.12" top="0.25" bottom="0.25" header="0.28000000000000003" footer="0.25"/>
  <pageSetup orientation="landscape" horizontalDpi="525" verticalDpi="52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indexed="62"/>
  </sheetPr>
  <dimension ref="A1:AJ123"/>
  <sheetViews>
    <sheetView topLeftCell="A37" zoomScaleNormal="100" zoomScaleSheetLayoutView="100" workbookViewId="0">
      <selection activeCell="D53" sqref="D53"/>
    </sheetView>
  </sheetViews>
  <sheetFormatPr defaultRowHeight="13.2"/>
  <cols>
    <col min="1" max="1" width="5.5546875" bestFit="1" customWidth="1"/>
    <col min="2" max="2" width="7" customWidth="1"/>
    <col min="3" max="3" width="6.88671875" style="2" bestFit="1" customWidth="1"/>
    <col min="4" max="4" width="11.6640625" style="2" customWidth="1"/>
    <col min="5" max="5" width="2.88671875" customWidth="1"/>
    <col min="6" max="6" width="4.109375" customWidth="1"/>
    <col min="7" max="7" width="7" customWidth="1"/>
    <col min="8" max="8" width="6.88671875" style="2" bestFit="1" customWidth="1"/>
    <col min="9" max="9" width="11.6640625" style="2" customWidth="1"/>
    <col min="10" max="10" width="2.6640625" customWidth="1"/>
    <col min="11" max="11" width="5" customWidth="1"/>
    <col min="12" max="12" width="7" customWidth="1"/>
    <col min="13" max="13" width="8.5546875" style="2" customWidth="1"/>
    <col min="14" max="14" width="11.6640625" style="2" customWidth="1"/>
    <col min="16" max="16" width="9.109375" customWidth="1"/>
    <col min="17" max="17" width="9.109375" style="2" hidden="1" customWidth="1"/>
    <col min="18" max="18" width="15.88671875" style="2" hidden="1" customWidth="1"/>
    <col min="19" max="19" width="3.88671875" hidden="1" customWidth="1"/>
    <col min="20" max="20" width="9.109375" style="2" hidden="1" customWidth="1"/>
    <col min="21" max="21" width="13.5546875" style="2" hidden="1" customWidth="1"/>
  </cols>
  <sheetData>
    <row r="1" spans="1:22">
      <c r="A1" s="248" t="s">
        <v>390</v>
      </c>
      <c r="B1" s="249"/>
      <c r="C1" s="249"/>
      <c r="D1" s="250"/>
      <c r="E1" s="251"/>
      <c r="F1" s="2617" t="s">
        <v>391</v>
      </c>
      <c r="G1" s="2618"/>
      <c r="H1" s="2618"/>
      <c r="I1" s="2618"/>
      <c r="J1" s="2618"/>
      <c r="K1" s="2618"/>
      <c r="L1" s="2618"/>
      <c r="M1" s="2618"/>
      <c r="N1" s="2619"/>
    </row>
    <row r="2" spans="1:22" ht="27" thickBot="1">
      <c r="A2" s="255" t="s">
        <v>392</v>
      </c>
      <c r="B2" s="256" t="s">
        <v>393</v>
      </c>
      <c r="C2" s="257" t="s">
        <v>279</v>
      </c>
      <c r="D2" s="258" t="s">
        <v>394</v>
      </c>
      <c r="E2" s="155"/>
      <c r="F2" s="259" t="s">
        <v>392</v>
      </c>
      <c r="G2" s="260" t="s">
        <v>393</v>
      </c>
      <c r="H2" s="261" t="s">
        <v>279</v>
      </c>
      <c r="I2" s="261" t="s">
        <v>395</v>
      </c>
      <c r="J2" s="156"/>
      <c r="K2" s="260" t="s">
        <v>392</v>
      </c>
      <c r="L2" s="260" t="s">
        <v>393</v>
      </c>
      <c r="M2" s="261" t="s">
        <v>279</v>
      </c>
      <c r="N2" s="262" t="s">
        <v>395</v>
      </c>
    </row>
    <row r="3" spans="1:22" ht="14.4" thickTop="1">
      <c r="A3" s="169">
        <v>39</v>
      </c>
      <c r="B3" s="170" t="s">
        <v>396</v>
      </c>
      <c r="C3" s="958">
        <f>VLOOKUP("Pin 1",Data!$A$212:$I$222,2,FALSE)</f>
        <v>2</v>
      </c>
      <c r="D3" s="958" t="str">
        <f t="shared" ref="D3:D10" si="0">VLOOKUP(C3,$Q:$R,2,FALSE)</f>
        <v>Veh Det 2</v>
      </c>
      <c r="E3" s="155"/>
      <c r="F3" s="130">
        <v>1</v>
      </c>
      <c r="G3" s="2620" t="s">
        <v>397</v>
      </c>
      <c r="H3" s="2621"/>
      <c r="I3" s="2622"/>
      <c r="J3" s="156"/>
      <c r="K3" s="179">
        <v>83</v>
      </c>
      <c r="L3" s="180" t="s">
        <v>398</v>
      </c>
      <c r="M3" s="174">
        <f>VLOOKUP("Pin 1",Data!$A$223:$I$233,7,FALSE)</f>
        <v>18</v>
      </c>
      <c r="N3" s="961" t="str">
        <f>VLOOKUP(M3,$T:$U,2,FALSE)</f>
        <v>Red Ch 18</v>
      </c>
    </row>
    <row r="4" spans="1:22" ht="13.8">
      <c r="A4" s="266">
        <f>A3+1</f>
        <v>40</v>
      </c>
      <c r="B4" s="267" t="s">
        <v>399</v>
      </c>
      <c r="C4" s="963">
        <f>VLOOKUP("Pin 2",Data!$A$212:$I$222,2,FALSE)</f>
        <v>16</v>
      </c>
      <c r="D4" s="964" t="str">
        <f t="shared" si="0"/>
        <v>Veh Det 16</v>
      </c>
      <c r="E4" s="155"/>
      <c r="F4" s="171">
        <f t="shared" ref="F4:F15" si="1">F3+1</f>
        <v>2</v>
      </c>
      <c r="G4" s="173" t="s">
        <v>663</v>
      </c>
      <c r="H4" s="174">
        <f>VLOOKUP("Pin 1",Data!$A$223:$I$233,2,FALSE)</f>
        <v>14</v>
      </c>
      <c r="I4" s="174" t="str">
        <f>VLOOKUP(H4,$T:$U,2,FALSE)</f>
        <v>Red Ch 14</v>
      </c>
      <c r="J4" s="156"/>
      <c r="K4" s="284">
        <f t="shared" ref="K4:K19" si="2">K3+1</f>
        <v>84</v>
      </c>
      <c r="L4" s="283" t="s">
        <v>400</v>
      </c>
      <c r="M4" s="275">
        <f>VLOOKUP("Pin 2",Data!$A$223:$I$233,7,FALSE)</f>
        <v>66</v>
      </c>
      <c r="N4" s="965" t="str">
        <f t="shared" ref="N4:N19" si="3">VLOOKUP(M4,$T:$U,2,FALSE)</f>
        <v>Grn Chan 18</v>
      </c>
      <c r="Q4" s="131"/>
      <c r="V4" t="s">
        <v>34</v>
      </c>
    </row>
    <row r="5" spans="1:22" ht="13.8">
      <c r="A5" s="171">
        <f t="shared" ref="A5:A46" si="4">A4+1</f>
        <v>41</v>
      </c>
      <c r="B5" s="172" t="s">
        <v>401</v>
      </c>
      <c r="C5" s="959">
        <f>VLOOKUP("Pin 3",Data!$A$212:$I$222,2,FALSE)</f>
        <v>8</v>
      </c>
      <c r="D5" s="958" t="str">
        <f t="shared" si="0"/>
        <v>Veh Det 8</v>
      </c>
      <c r="E5" s="155"/>
      <c r="F5" s="266">
        <f t="shared" si="1"/>
        <v>3</v>
      </c>
      <c r="G5" s="268" t="s">
        <v>664</v>
      </c>
      <c r="H5" s="275">
        <f>VLOOKUP("Pin 2",Data!$A$223:$I$233,2,FALSE)</f>
        <v>62</v>
      </c>
      <c r="I5" s="275" t="str">
        <f>VLOOKUP(H5,$T:$U,2,FALSE)</f>
        <v>Grn Chan 14</v>
      </c>
      <c r="J5" s="156"/>
      <c r="K5" s="181">
        <f t="shared" si="2"/>
        <v>85</v>
      </c>
      <c r="L5" s="182" t="s">
        <v>402</v>
      </c>
      <c r="M5" s="174">
        <f>VLOOKUP("Pin 3",Data!$A$223:$I$233,7,FALSE)</f>
        <v>12</v>
      </c>
      <c r="N5" s="962" t="str">
        <f t="shared" si="3"/>
        <v>Red Ch 12</v>
      </c>
      <c r="P5" s="132"/>
      <c r="V5" t="s">
        <v>34</v>
      </c>
    </row>
    <row r="6" spans="1:22" ht="13.8">
      <c r="A6" s="266">
        <f t="shared" si="4"/>
        <v>42</v>
      </c>
      <c r="B6" s="267" t="s">
        <v>403</v>
      </c>
      <c r="C6" s="963">
        <f>VLOOKUP("Pin 4",Data!$A$212:$I$222,2,FALSE)</f>
        <v>22</v>
      </c>
      <c r="D6" s="964" t="str">
        <f t="shared" si="0"/>
        <v>Veh Det 22</v>
      </c>
      <c r="E6" s="155"/>
      <c r="F6" s="171">
        <f t="shared" si="1"/>
        <v>4</v>
      </c>
      <c r="G6" s="173" t="s">
        <v>665</v>
      </c>
      <c r="H6" s="174">
        <f>VLOOKUP("Pin 3",Data!$A$223:$I$233,2,FALSE)</f>
        <v>4</v>
      </c>
      <c r="I6" s="174" t="str">
        <f>VLOOKUP(H6,$T:$U,2,FALSE)</f>
        <v>Red Ch 4</v>
      </c>
      <c r="J6" s="156"/>
      <c r="K6" s="284">
        <f t="shared" si="2"/>
        <v>86</v>
      </c>
      <c r="L6" s="283" t="s">
        <v>404</v>
      </c>
      <c r="M6" s="275">
        <f>VLOOKUP("Pin 4",Data!$A$223:$I$233,7,FALSE)</f>
        <v>36</v>
      </c>
      <c r="N6" s="965" t="str">
        <f t="shared" si="3"/>
        <v>Yel Chan 12</v>
      </c>
    </row>
    <row r="7" spans="1:22" ht="13.8">
      <c r="A7" s="171">
        <f t="shared" si="4"/>
        <v>43</v>
      </c>
      <c r="B7" s="172" t="s">
        <v>405</v>
      </c>
      <c r="C7" s="959">
        <f>VLOOKUP("Pin 5",Data!$A$212:$I$222,2,FALSE)</f>
        <v>3</v>
      </c>
      <c r="D7" s="958" t="str">
        <f t="shared" si="0"/>
        <v>Veh Det 3</v>
      </c>
      <c r="E7" s="155"/>
      <c r="F7" s="266">
        <f t="shared" si="1"/>
        <v>5</v>
      </c>
      <c r="G7" s="268" t="s">
        <v>666</v>
      </c>
      <c r="H7" s="275">
        <f>VLOOKUP("Pin 4",Data!$A$223:$I$233,2,FALSE)</f>
        <v>28</v>
      </c>
      <c r="I7" s="275" t="str">
        <f>VLOOKUP(H7,$T:$U,2,FALSE)</f>
        <v>Yel Chan 4</v>
      </c>
      <c r="J7" s="156"/>
      <c r="K7" s="181">
        <f t="shared" si="2"/>
        <v>87</v>
      </c>
      <c r="L7" s="182" t="s">
        <v>406</v>
      </c>
      <c r="M7" s="174">
        <f>VLOOKUP("Pin 5",Data!$A$223:$I$233,7,FALSE)</f>
        <v>60</v>
      </c>
      <c r="N7" s="962" t="str">
        <f t="shared" si="3"/>
        <v>Grn Chan 12</v>
      </c>
    </row>
    <row r="8" spans="1:22" ht="13.8">
      <c r="A8" s="266">
        <f t="shared" si="4"/>
        <v>44</v>
      </c>
      <c r="B8" s="267" t="s">
        <v>407</v>
      </c>
      <c r="C8" s="963">
        <f>VLOOKUP("Pin 6",Data!$A$212:$I$222,2,FALSE)</f>
        <v>17</v>
      </c>
      <c r="D8" s="964" t="str">
        <f t="shared" si="0"/>
        <v>Veh Det 17</v>
      </c>
      <c r="E8" s="155"/>
      <c r="F8" s="171">
        <f t="shared" si="1"/>
        <v>6</v>
      </c>
      <c r="G8" s="173" t="s">
        <v>667</v>
      </c>
      <c r="H8" s="174">
        <f>VLOOKUP("Pin 5",Data!$A$223:$I$233,2,FALSE)</f>
        <v>52</v>
      </c>
      <c r="I8" s="174" t="str">
        <f t="shared" ref="I8:I44" si="5">VLOOKUP(H8,$T:$U,2,FALSE)</f>
        <v>Grn Chan 4</v>
      </c>
      <c r="J8" s="156"/>
      <c r="K8" s="284">
        <f t="shared" si="2"/>
        <v>88</v>
      </c>
      <c r="L8" s="283" t="s">
        <v>408</v>
      </c>
      <c r="M8" s="275">
        <f>VLOOKUP("Pin 6",Data!$A$223:$I$233,7,FALSE)</f>
        <v>11</v>
      </c>
      <c r="N8" s="965" t="str">
        <f t="shared" si="3"/>
        <v>Red Ch 11</v>
      </c>
    </row>
    <row r="9" spans="1:22" ht="13.8">
      <c r="A9" s="171">
        <f t="shared" si="4"/>
        <v>45</v>
      </c>
      <c r="B9" s="172" t="s">
        <v>409</v>
      </c>
      <c r="C9" s="959">
        <f>VLOOKUP("Pin 7",Data!$A$212:$I$222,2,FALSE)</f>
        <v>9</v>
      </c>
      <c r="D9" s="958" t="str">
        <f t="shared" si="0"/>
        <v>Veh Det 9</v>
      </c>
      <c r="E9" s="155"/>
      <c r="F9" s="266">
        <f t="shared" si="1"/>
        <v>7</v>
      </c>
      <c r="G9" s="268" t="s">
        <v>668</v>
      </c>
      <c r="H9" s="275">
        <f>VLOOKUP("Pin 6",Data!$A$223:$I$233,2,FALSE)</f>
        <v>3</v>
      </c>
      <c r="I9" s="275" t="str">
        <f t="shared" si="5"/>
        <v>Red Ch 3</v>
      </c>
      <c r="J9" s="156"/>
      <c r="K9" s="181">
        <f t="shared" si="2"/>
        <v>89</v>
      </c>
      <c r="L9" s="182" t="s">
        <v>410</v>
      </c>
      <c r="M9" s="174">
        <f>VLOOKUP("Pin 7",Data!$A$223:$I$233,7,FALSE)</f>
        <v>35</v>
      </c>
      <c r="N9" s="962" t="str">
        <f t="shared" si="3"/>
        <v>Yel Chan 11</v>
      </c>
    </row>
    <row r="10" spans="1:22" ht="13.8">
      <c r="A10" s="266">
        <f t="shared" si="4"/>
        <v>46</v>
      </c>
      <c r="B10" s="267" t="s">
        <v>411</v>
      </c>
      <c r="C10" s="963">
        <f>VLOOKUP("Pin 8",Data!$A$212:$I$222,2,FALSE)</f>
        <v>23</v>
      </c>
      <c r="D10" s="964" t="str">
        <f t="shared" si="0"/>
        <v>Veh Det 23</v>
      </c>
      <c r="E10" s="155"/>
      <c r="F10" s="171">
        <f t="shared" si="1"/>
        <v>8</v>
      </c>
      <c r="G10" s="173" t="s">
        <v>669</v>
      </c>
      <c r="H10" s="174">
        <f>VLOOKUP("Pin 7",Data!$A$223:$I$233,2,FALSE)</f>
        <v>27</v>
      </c>
      <c r="I10" s="174" t="str">
        <f t="shared" si="5"/>
        <v>Yel Chan 3</v>
      </c>
      <c r="J10" s="156"/>
      <c r="K10" s="284">
        <f t="shared" si="2"/>
        <v>90</v>
      </c>
      <c r="L10" s="283" t="s">
        <v>412</v>
      </c>
      <c r="M10" s="275">
        <f>VLOOKUP("Pin 8",Data!$A$223:$I$233,7,FALSE)</f>
        <v>59</v>
      </c>
      <c r="N10" s="965" t="str">
        <f t="shared" si="3"/>
        <v>Grn Chan 11</v>
      </c>
    </row>
    <row r="11" spans="1:22" ht="13.8">
      <c r="A11" s="171">
        <f t="shared" si="4"/>
        <v>47</v>
      </c>
      <c r="B11" s="173" t="s">
        <v>413</v>
      </c>
      <c r="C11" s="959">
        <f>VLOOKUP("Pin 1",Data!$A$212:$I$222,3,FALSE)</f>
        <v>6</v>
      </c>
      <c r="D11" s="958" t="str">
        <f t="shared" ref="D11:D24" si="6">VLOOKUP(C11,$Q:$R,2,FALSE)</f>
        <v>Veh Det 6</v>
      </c>
      <c r="E11" s="155"/>
      <c r="F11" s="266">
        <f t="shared" si="1"/>
        <v>9</v>
      </c>
      <c r="G11" s="268" t="s">
        <v>670</v>
      </c>
      <c r="H11" s="275">
        <f>VLOOKUP("Pin 8",Data!$A$223:$I$233,2,FALSE)</f>
        <v>51</v>
      </c>
      <c r="I11" s="275" t="str">
        <f t="shared" si="5"/>
        <v>Grn Chan 3</v>
      </c>
      <c r="J11" s="156"/>
      <c r="K11" s="181">
        <f t="shared" si="2"/>
        <v>91</v>
      </c>
      <c r="L11" s="182" t="s">
        <v>414</v>
      </c>
      <c r="M11" s="174">
        <f>VLOOKUP("Pin 1",Data!$A$223:$I$233,8,FALSE)</f>
        <v>17</v>
      </c>
      <c r="N11" s="962" t="str">
        <f t="shared" si="3"/>
        <v>Red Ch 17</v>
      </c>
    </row>
    <row r="12" spans="1:22" ht="13.8">
      <c r="A12" s="266">
        <f t="shared" si="4"/>
        <v>48</v>
      </c>
      <c r="B12" s="268" t="s">
        <v>415</v>
      </c>
      <c r="C12" s="963">
        <f>VLOOKUP("Pin 2",Data!$A$212:$I$222,3,FALSE)</f>
        <v>20</v>
      </c>
      <c r="D12" s="964" t="str">
        <f t="shared" si="6"/>
        <v>Veh Det 20</v>
      </c>
      <c r="E12" s="155"/>
      <c r="F12" s="171">
        <f t="shared" si="1"/>
        <v>10</v>
      </c>
      <c r="G12" s="175" t="s">
        <v>671</v>
      </c>
      <c r="H12" s="174">
        <f>VLOOKUP("Pin 1",Data!$A$223:$I$233,3,FALSE)</f>
        <v>13</v>
      </c>
      <c r="I12" s="174" t="str">
        <f t="shared" si="5"/>
        <v>Red Ch 13</v>
      </c>
      <c r="J12" s="156"/>
      <c r="K12" s="133">
        <f t="shared" si="2"/>
        <v>92</v>
      </c>
      <c r="L12" s="2623" t="s">
        <v>397</v>
      </c>
      <c r="M12" s="2624"/>
      <c r="N12" s="2625"/>
    </row>
    <row r="13" spans="1:22" ht="13.8">
      <c r="A13" s="171">
        <f t="shared" si="4"/>
        <v>49</v>
      </c>
      <c r="B13" s="173" t="s">
        <v>416</v>
      </c>
      <c r="C13" s="959">
        <f>VLOOKUP("Pin 3",Data!$A$212:$I$222,3,FALSE)</f>
        <v>12</v>
      </c>
      <c r="D13" s="958" t="str">
        <f t="shared" si="6"/>
        <v>Veh Det 12</v>
      </c>
      <c r="E13" s="155"/>
      <c r="F13" s="266">
        <f t="shared" si="1"/>
        <v>11</v>
      </c>
      <c r="G13" s="276" t="s">
        <v>672</v>
      </c>
      <c r="H13" s="275">
        <f>VLOOKUP("Pin 2",Data!$A$223:$I$233,3,FALSE)</f>
        <v>61</v>
      </c>
      <c r="I13" s="275" t="str">
        <f t="shared" si="5"/>
        <v>Grn Chan 13</v>
      </c>
      <c r="J13" s="156"/>
      <c r="K13" s="282">
        <f t="shared" si="2"/>
        <v>93</v>
      </c>
      <c r="L13" s="283" t="s">
        <v>417</v>
      </c>
      <c r="M13" s="275">
        <f>VLOOKUP("Pin 2",Data!$A$223:$I$233,8,FALSE)</f>
        <v>65</v>
      </c>
      <c r="N13" s="965" t="str">
        <f t="shared" si="3"/>
        <v>Grn Chan 17</v>
      </c>
    </row>
    <row r="14" spans="1:22" ht="13.8">
      <c r="A14" s="266">
        <f t="shared" si="4"/>
        <v>50</v>
      </c>
      <c r="B14" s="268" t="s">
        <v>418</v>
      </c>
      <c r="C14" s="963">
        <f>VLOOKUP("Pin 4",Data!$A$212:$I$222,3,FALSE)</f>
        <v>26</v>
      </c>
      <c r="D14" s="964" t="str">
        <f t="shared" si="6"/>
        <v>Veh Det 26</v>
      </c>
      <c r="E14" s="155"/>
      <c r="F14" s="171">
        <f t="shared" si="1"/>
        <v>12</v>
      </c>
      <c r="G14" s="175" t="s">
        <v>673</v>
      </c>
      <c r="H14" s="174">
        <f>VLOOKUP("Pin 3",Data!$A$223:$I$233,3,FALSE)</f>
        <v>2</v>
      </c>
      <c r="I14" s="174" t="str">
        <f t="shared" si="5"/>
        <v>Red Ch 2</v>
      </c>
      <c r="J14" s="156"/>
      <c r="K14" s="183">
        <f t="shared" si="2"/>
        <v>94</v>
      </c>
      <c r="L14" s="182" t="s">
        <v>419</v>
      </c>
      <c r="M14" s="174">
        <f>VLOOKUP("Pin 3",Data!$A$223:$I$233,8,FALSE)</f>
        <v>10</v>
      </c>
      <c r="N14" s="962" t="str">
        <f t="shared" si="3"/>
        <v>Red Ch 10</v>
      </c>
    </row>
    <row r="15" spans="1:22" ht="13.8">
      <c r="A15" s="171">
        <f t="shared" si="4"/>
        <v>51</v>
      </c>
      <c r="B15" s="173" t="s">
        <v>420</v>
      </c>
      <c r="C15" s="959">
        <f>VLOOKUP("Pin 5",Data!$A$212:$I$222,3,FALSE)</f>
        <v>198</v>
      </c>
      <c r="D15" s="958" t="str">
        <f t="shared" si="6"/>
        <v>Pre 1 In</v>
      </c>
      <c r="E15" s="155"/>
      <c r="F15" s="266">
        <f t="shared" si="1"/>
        <v>13</v>
      </c>
      <c r="G15" s="276" t="s">
        <v>674</v>
      </c>
      <c r="H15" s="275">
        <f>VLOOKUP("Pin 4",Data!$A$223:$I$233,3,FALSE)</f>
        <v>26</v>
      </c>
      <c r="I15" s="275" t="str">
        <f t="shared" si="5"/>
        <v>Yel Chan 2</v>
      </c>
      <c r="J15" s="156"/>
      <c r="K15" s="282">
        <f t="shared" si="2"/>
        <v>95</v>
      </c>
      <c r="L15" s="283" t="s">
        <v>421</v>
      </c>
      <c r="M15" s="275">
        <f>VLOOKUP("Pin 4",Data!$A$223:$I$233,8,FALSE)</f>
        <v>34</v>
      </c>
      <c r="N15" s="965" t="str">
        <f t="shared" si="3"/>
        <v>Yel Chan 10</v>
      </c>
    </row>
    <row r="16" spans="1:22" ht="13.8">
      <c r="A16" s="266">
        <f t="shared" si="4"/>
        <v>52</v>
      </c>
      <c r="B16" s="268" t="s">
        <v>422</v>
      </c>
      <c r="C16" s="963">
        <f>VLOOKUP("Pin 6",Data!$A$212:$I$222,3,FALSE)</f>
        <v>199</v>
      </c>
      <c r="D16" s="964" t="str">
        <f t="shared" si="6"/>
        <v>Pre 2 In</v>
      </c>
      <c r="E16" s="155"/>
      <c r="F16" s="134">
        <v>14</v>
      </c>
      <c r="G16" s="2626" t="s">
        <v>397</v>
      </c>
      <c r="H16" s="2627"/>
      <c r="I16" s="2628"/>
      <c r="J16" s="156"/>
      <c r="K16" s="183">
        <f t="shared" si="2"/>
        <v>96</v>
      </c>
      <c r="L16" s="182" t="s">
        <v>423</v>
      </c>
      <c r="M16" s="174">
        <f>VLOOKUP("Pin 5",Data!$A$223:$I$233,8,FALSE)</f>
        <v>58</v>
      </c>
      <c r="N16" s="962" t="str">
        <f t="shared" si="3"/>
        <v>Grn Chan 10</v>
      </c>
    </row>
    <row r="17" spans="1:22" ht="13.8">
      <c r="A17" s="171">
        <f t="shared" si="4"/>
        <v>53</v>
      </c>
      <c r="B17" s="173" t="s">
        <v>424</v>
      </c>
      <c r="C17" s="959">
        <f>VLOOKUP("Pin 7",Data!$A$212:$I$222,3,FALSE)</f>
        <v>30</v>
      </c>
      <c r="D17" s="958" t="str">
        <f t="shared" si="6"/>
        <v>Veh Det 30</v>
      </c>
      <c r="E17" s="155"/>
      <c r="F17" s="171">
        <v>15</v>
      </c>
      <c r="G17" s="175" t="s">
        <v>675</v>
      </c>
      <c r="H17" s="174">
        <f>VLOOKUP("Pin 5",Data!$A$223:$I$233,3,FALSE)</f>
        <v>50</v>
      </c>
      <c r="I17" s="174" t="str">
        <f t="shared" si="5"/>
        <v>Grn Chan 2</v>
      </c>
      <c r="J17" s="156"/>
      <c r="K17" s="282">
        <f t="shared" si="2"/>
        <v>97</v>
      </c>
      <c r="L17" s="283" t="s">
        <v>425</v>
      </c>
      <c r="M17" s="275">
        <f>VLOOKUP("Pin 6",Data!$A$223:$I$233,8,FALSE)</f>
        <v>9</v>
      </c>
      <c r="N17" s="965" t="str">
        <f t="shared" si="3"/>
        <v>Red Ch 9</v>
      </c>
    </row>
    <row r="18" spans="1:22" ht="13.8">
      <c r="A18" s="266">
        <f t="shared" si="4"/>
        <v>54</v>
      </c>
      <c r="B18" s="268" t="s">
        <v>426</v>
      </c>
      <c r="C18" s="963">
        <f>VLOOKUP("Pin 8",Data!$A$212:$I$222,3,FALSE)</f>
        <v>31</v>
      </c>
      <c r="D18" s="964" t="str">
        <f t="shared" si="6"/>
        <v>Veh Det 31</v>
      </c>
      <c r="E18" s="155"/>
      <c r="F18" s="266">
        <f t="shared" ref="F18:F40" si="7">F17+1</f>
        <v>16</v>
      </c>
      <c r="G18" s="276" t="s">
        <v>676</v>
      </c>
      <c r="H18" s="275">
        <f>VLOOKUP("Pin 6",Data!$A$223:$I$233,3,FALSE)</f>
        <v>1</v>
      </c>
      <c r="I18" s="275" t="str">
        <f t="shared" si="5"/>
        <v>Red Ch 1</v>
      </c>
      <c r="J18" s="156"/>
      <c r="K18" s="183">
        <f t="shared" si="2"/>
        <v>98</v>
      </c>
      <c r="L18" s="182" t="s">
        <v>427</v>
      </c>
      <c r="M18" s="174">
        <f>VLOOKUP("Pin 7",Data!$A$223:$I$233,8,FALSE)</f>
        <v>33</v>
      </c>
      <c r="N18" s="962" t="str">
        <f t="shared" si="3"/>
        <v>Yel Chan 9</v>
      </c>
    </row>
    <row r="19" spans="1:22" ht="13.8">
      <c r="A19" s="171">
        <f t="shared" si="4"/>
        <v>55</v>
      </c>
      <c r="B19" s="172" t="s">
        <v>428</v>
      </c>
      <c r="C19" s="958">
        <f>VLOOKUP("Pin 1",Data!$A$212:$I$222,4,FALSE)</f>
        <v>15</v>
      </c>
      <c r="D19" s="958" t="str">
        <f t="shared" si="6"/>
        <v>Veh Det 15</v>
      </c>
      <c r="E19" s="155"/>
      <c r="F19" s="171">
        <f t="shared" si="7"/>
        <v>17</v>
      </c>
      <c r="G19" s="175" t="s">
        <v>677</v>
      </c>
      <c r="H19" s="174">
        <f>VLOOKUP("Pin 7",Data!$A$223:$I$233,3,FALSE)</f>
        <v>25</v>
      </c>
      <c r="I19" s="174" t="str">
        <f t="shared" si="5"/>
        <v>Yel Chan 1</v>
      </c>
      <c r="J19" s="156"/>
      <c r="K19" s="282">
        <f t="shared" si="2"/>
        <v>99</v>
      </c>
      <c r="L19" s="283" t="s">
        <v>429</v>
      </c>
      <c r="M19" s="275">
        <f>VLOOKUP("Pin 8",Data!$A$223:$I$233,8,FALSE)</f>
        <v>57</v>
      </c>
      <c r="N19" s="965" t="str">
        <f t="shared" si="3"/>
        <v>Grn Chan 9</v>
      </c>
    </row>
    <row r="20" spans="1:22" ht="13.8">
      <c r="A20" s="266">
        <f t="shared" si="4"/>
        <v>56</v>
      </c>
      <c r="B20" s="267" t="s">
        <v>430</v>
      </c>
      <c r="C20" s="964">
        <f>VLOOKUP("Pin 2",Data!$A$212:$I$222,4,FALSE)</f>
        <v>1</v>
      </c>
      <c r="D20" s="964" t="str">
        <f t="shared" si="6"/>
        <v>Veh Det 1</v>
      </c>
      <c r="E20" s="155"/>
      <c r="F20" s="266">
        <f t="shared" si="7"/>
        <v>18</v>
      </c>
      <c r="G20" s="276" t="s">
        <v>678</v>
      </c>
      <c r="H20" s="275">
        <f>VLOOKUP("Pin 8",Data!$A$223:$I$233,3,FALSE)</f>
        <v>49</v>
      </c>
      <c r="I20" s="275" t="str">
        <f t="shared" si="5"/>
        <v>Grn Chan 1</v>
      </c>
      <c r="J20" s="156"/>
      <c r="K20" s="2614" t="s">
        <v>720</v>
      </c>
      <c r="L20" s="2615"/>
      <c r="M20" s="2615"/>
      <c r="N20" s="2616"/>
    </row>
    <row r="21" spans="1:22" ht="13.8">
      <c r="A21" s="171">
        <f t="shared" si="4"/>
        <v>57</v>
      </c>
      <c r="B21" s="172" t="s">
        <v>431</v>
      </c>
      <c r="C21" s="958">
        <f>VLOOKUP("Pin 3",Data!$A$212:$I$222,4,FALSE)</f>
        <v>21</v>
      </c>
      <c r="D21" s="958" t="str">
        <f t="shared" si="6"/>
        <v>Veh Det 21</v>
      </c>
      <c r="E21" s="155"/>
      <c r="F21" s="171">
        <f t="shared" si="7"/>
        <v>19</v>
      </c>
      <c r="G21" s="175" t="s">
        <v>679</v>
      </c>
      <c r="H21" s="174">
        <f>VLOOKUP("Pin 1",Data!$A$223:$I$233,4,FALSE)</f>
        <v>16</v>
      </c>
      <c r="I21" s="174" t="str">
        <f t="shared" si="5"/>
        <v>Red Ch 16</v>
      </c>
      <c r="J21" s="156"/>
      <c r="K21" s="2614" t="s">
        <v>726</v>
      </c>
      <c r="L21" s="2615"/>
      <c r="M21" s="2615"/>
      <c r="N21" s="2616"/>
      <c r="P21" s="45"/>
      <c r="Q21" s="118"/>
      <c r="R21" s="118"/>
      <c r="S21" s="45"/>
      <c r="T21" s="118"/>
      <c r="U21" s="118"/>
      <c r="V21" s="45"/>
    </row>
    <row r="22" spans="1:22" ht="13.8">
      <c r="A22" s="266">
        <f t="shared" si="4"/>
        <v>58</v>
      </c>
      <c r="B22" s="267" t="s">
        <v>432</v>
      </c>
      <c r="C22" s="964">
        <f>VLOOKUP("Pin 4",Data!$A$212:$I$222,4,FALSE)</f>
        <v>7</v>
      </c>
      <c r="D22" s="964" t="str">
        <f t="shared" si="6"/>
        <v>Veh Det 7</v>
      </c>
      <c r="E22" s="155"/>
      <c r="F22" s="266">
        <f t="shared" si="7"/>
        <v>20</v>
      </c>
      <c r="G22" s="276" t="s">
        <v>680</v>
      </c>
      <c r="H22" s="275">
        <f>VLOOKUP("Pin 2",Data!$A$223:$I$233,4,FALSE)</f>
        <v>64</v>
      </c>
      <c r="I22" s="275" t="str">
        <f t="shared" si="5"/>
        <v>Grn Chan 16</v>
      </c>
      <c r="J22" s="156"/>
      <c r="K22" s="275">
        <v>1</v>
      </c>
      <c r="L22" s="281" t="s">
        <v>722</v>
      </c>
      <c r="M22" s="275">
        <f>VLOOKUP("Pin 1",Data!$A$223:$I$233,9,FALSE)</f>
        <v>115</v>
      </c>
      <c r="N22" s="965" t="str">
        <f>VLOOKUP(M22,$T:$U,2,FALSE)</f>
        <v>Not Used</v>
      </c>
    </row>
    <row r="23" spans="1:22" ht="13.8">
      <c r="A23" s="171">
        <f t="shared" si="4"/>
        <v>59</v>
      </c>
      <c r="B23" s="172" t="s">
        <v>433</v>
      </c>
      <c r="C23" s="958">
        <f>VLOOKUP("Pin 5",Data!$A$212:$I$222,4,FALSE)</f>
        <v>27</v>
      </c>
      <c r="D23" s="958" t="str">
        <f t="shared" si="6"/>
        <v>Veh Det 27</v>
      </c>
      <c r="E23" s="155"/>
      <c r="F23" s="171">
        <f t="shared" si="7"/>
        <v>21</v>
      </c>
      <c r="G23" s="175" t="s">
        <v>681</v>
      </c>
      <c r="H23" s="174">
        <f>VLOOKUP("Pin 3",Data!$A$223:$I$233,4,FALSE)</f>
        <v>8</v>
      </c>
      <c r="I23" s="174" t="str">
        <f t="shared" si="5"/>
        <v>Red Ch 8</v>
      </c>
      <c r="J23" s="156"/>
      <c r="K23" s="254">
        <v>2</v>
      </c>
      <c r="L23" s="253" t="s">
        <v>723</v>
      </c>
      <c r="M23" s="174">
        <f>VLOOKUP("Pin 2",Data!$A$223:$I$233,9,FALSE)</f>
        <v>115</v>
      </c>
      <c r="N23" s="962" t="str">
        <f>VLOOKUP(M23,$T:$U,2,FALSE)</f>
        <v>Not Used</v>
      </c>
    </row>
    <row r="24" spans="1:22" ht="13.8">
      <c r="A24" s="266">
        <f t="shared" si="4"/>
        <v>60</v>
      </c>
      <c r="B24" s="267" t="s">
        <v>434</v>
      </c>
      <c r="C24" s="964">
        <f>VLOOKUP("Pin 6",Data!$A$212:$I$222,4,FALSE)</f>
        <v>13</v>
      </c>
      <c r="D24" s="964" t="str">
        <f t="shared" si="6"/>
        <v>Veh Det 13</v>
      </c>
      <c r="E24" s="155"/>
      <c r="F24" s="266">
        <f t="shared" si="7"/>
        <v>22</v>
      </c>
      <c r="G24" s="276" t="s">
        <v>682</v>
      </c>
      <c r="H24" s="275">
        <f>VLOOKUP("Pin 4",Data!$A$223:$I$233,4,FALSE)</f>
        <v>32</v>
      </c>
      <c r="I24" s="275" t="str">
        <f t="shared" si="5"/>
        <v>Yel Chan 8</v>
      </c>
      <c r="J24" s="156"/>
      <c r="K24" s="275">
        <v>3</v>
      </c>
      <c r="L24" s="281" t="s">
        <v>724</v>
      </c>
      <c r="M24" s="275">
        <f>VLOOKUP("Pin 3",Data!$A$223:$I$233,9,FALSE)</f>
        <v>115</v>
      </c>
      <c r="N24" s="965" t="str">
        <f>VLOOKUP(M24,$T:$U,2,FALSE)</f>
        <v>Not Used</v>
      </c>
    </row>
    <row r="25" spans="1:22" ht="13.8">
      <c r="A25" s="171">
        <f t="shared" si="4"/>
        <v>61</v>
      </c>
      <c r="B25" s="172" t="s">
        <v>435</v>
      </c>
      <c r="C25" s="958">
        <f>VLOOKUP("Pin 7",Data!$A$212:$I$222,4,FALSE)</f>
        <v>28</v>
      </c>
      <c r="D25" s="958" t="str">
        <f t="shared" ref="D25:D46" si="8">VLOOKUP(C25,$Q:$R,2,FALSE)</f>
        <v>Veh Det 28</v>
      </c>
      <c r="E25" s="155"/>
      <c r="F25" s="171">
        <f t="shared" si="7"/>
        <v>23</v>
      </c>
      <c r="G25" s="175" t="s">
        <v>683</v>
      </c>
      <c r="H25" s="174">
        <f>VLOOKUP("Pin 5",Data!$A$223:$I$233,4,FALSE)</f>
        <v>56</v>
      </c>
      <c r="I25" s="174" t="str">
        <f t="shared" si="5"/>
        <v>Grn Chan 8</v>
      </c>
      <c r="J25" s="156"/>
      <c r="K25" s="254">
        <v>4</v>
      </c>
      <c r="L25" s="253" t="s">
        <v>725</v>
      </c>
      <c r="M25" s="174">
        <f>VLOOKUP("Pin 4",Data!$A$223:$I$233,9,FALSE)</f>
        <v>115</v>
      </c>
      <c r="N25" s="962" t="str">
        <f>VLOOKUP(M25,$T:$U,2,FALSE)</f>
        <v>Not Used</v>
      </c>
    </row>
    <row r="26" spans="1:22" ht="13.8">
      <c r="A26" s="266">
        <f t="shared" si="4"/>
        <v>62</v>
      </c>
      <c r="B26" s="267" t="s">
        <v>436</v>
      </c>
      <c r="C26" s="964">
        <f>VLOOKUP("Pin 8",Data!$A$212:$I$222,4,FALSE)</f>
        <v>14</v>
      </c>
      <c r="D26" s="964" t="str">
        <f t="shared" si="8"/>
        <v>Veh Det 14</v>
      </c>
      <c r="E26" s="155"/>
      <c r="F26" s="266">
        <f t="shared" si="7"/>
        <v>24</v>
      </c>
      <c r="G26" s="276" t="s">
        <v>684</v>
      </c>
      <c r="H26" s="275">
        <f>VLOOKUP("Pin 6",Data!$A$223:$I$233,4,FALSE)</f>
        <v>7</v>
      </c>
      <c r="I26" s="275" t="str">
        <f t="shared" si="5"/>
        <v>Red Ch 7</v>
      </c>
      <c r="J26" s="156"/>
      <c r="K26" s="2614" t="s">
        <v>390</v>
      </c>
      <c r="L26" s="2615"/>
      <c r="M26" s="2615"/>
      <c r="N26" s="2616"/>
      <c r="Q26" s="2613" t="s">
        <v>437</v>
      </c>
      <c r="R26" s="2613"/>
      <c r="T26" s="2613" t="s">
        <v>438</v>
      </c>
      <c r="U26" s="2613"/>
    </row>
    <row r="27" spans="1:22" ht="13.8">
      <c r="A27" s="171">
        <f t="shared" si="4"/>
        <v>63</v>
      </c>
      <c r="B27" s="172" t="s">
        <v>439</v>
      </c>
      <c r="C27" s="958">
        <f>VLOOKUP("Pin 5",Data!$A$212:$I$222,5,FALSE)</f>
        <v>4</v>
      </c>
      <c r="D27" s="958" t="str">
        <f t="shared" si="8"/>
        <v>Veh Det 4</v>
      </c>
      <c r="E27" s="155"/>
      <c r="F27" s="171">
        <f t="shared" si="7"/>
        <v>25</v>
      </c>
      <c r="G27" s="175" t="s">
        <v>685</v>
      </c>
      <c r="H27" s="174">
        <f>VLOOKUP("Pin 7",Data!$A$223:$I$233,4,FALSE)</f>
        <v>31</v>
      </c>
      <c r="I27" s="174" t="str">
        <f t="shared" si="5"/>
        <v>Yel Chan 7</v>
      </c>
      <c r="J27" s="156"/>
      <c r="K27" s="2614" t="s">
        <v>721</v>
      </c>
      <c r="L27" s="2615"/>
      <c r="M27" s="2615"/>
      <c r="N27" s="2616"/>
      <c r="Q27" s="136" t="s">
        <v>279</v>
      </c>
      <c r="R27" s="136" t="s">
        <v>440</v>
      </c>
      <c r="T27" s="136" t="s">
        <v>279</v>
      </c>
      <c r="U27" s="136" t="s">
        <v>440</v>
      </c>
    </row>
    <row r="28" spans="1:22" ht="13.8">
      <c r="A28" s="266">
        <f t="shared" si="4"/>
        <v>64</v>
      </c>
      <c r="B28" s="267" t="s">
        <v>441</v>
      </c>
      <c r="C28" s="964">
        <f>VLOOKUP("Pin 6",Data!$A$212:$I$222,5,FALSE)</f>
        <v>18</v>
      </c>
      <c r="D28" s="964" t="str">
        <f t="shared" si="8"/>
        <v>Veh Det 18</v>
      </c>
      <c r="E28" s="155"/>
      <c r="F28" s="266">
        <f t="shared" si="7"/>
        <v>26</v>
      </c>
      <c r="G28" s="276" t="s">
        <v>686</v>
      </c>
      <c r="H28" s="275">
        <f>VLOOKUP("Pin 8",Data!$A$223:$I$233,4,FALSE)</f>
        <v>55</v>
      </c>
      <c r="I28" s="275" t="str">
        <f t="shared" si="5"/>
        <v>Grn Chan 7</v>
      </c>
      <c r="J28" s="156"/>
      <c r="K28" s="1126">
        <v>15</v>
      </c>
      <c r="L28" s="280" t="s">
        <v>727</v>
      </c>
      <c r="M28" s="964">
        <f>VLOOKUP("Pin 1",Data!$A$212:$I$222,8,FALSE)</f>
        <v>33</v>
      </c>
      <c r="N28" s="1268" t="str">
        <f t="shared" ref="N28:N43" si="9">VLOOKUP(M28,$Q:$R,2,FALSE)</f>
        <v>Veh Det 33</v>
      </c>
      <c r="Q28" s="2">
        <v>0</v>
      </c>
      <c r="R28" s="2" t="s">
        <v>442</v>
      </c>
      <c r="T28" s="2">
        <v>0</v>
      </c>
      <c r="U28" s="2" t="s">
        <v>442</v>
      </c>
    </row>
    <row r="29" spans="1:22" ht="13.8">
      <c r="A29" s="171">
        <f t="shared" si="4"/>
        <v>65</v>
      </c>
      <c r="B29" s="172" t="s">
        <v>443</v>
      </c>
      <c r="C29" s="958">
        <f>VLOOKUP("Pin 7",Data!$A$212:$I$222,5,FALSE)</f>
        <v>10</v>
      </c>
      <c r="D29" s="958" t="str">
        <f t="shared" si="8"/>
        <v>Veh Det 10</v>
      </c>
      <c r="E29" s="155"/>
      <c r="F29" s="171">
        <f t="shared" si="7"/>
        <v>27</v>
      </c>
      <c r="G29" s="175" t="s">
        <v>687</v>
      </c>
      <c r="H29" s="174">
        <f>VLOOKUP("Pin 1",Data!$A$223:$I$233,5,FALSE)</f>
        <v>15</v>
      </c>
      <c r="I29" s="174" t="str">
        <f t="shared" si="5"/>
        <v>Red Ch 15</v>
      </c>
      <c r="J29" s="156"/>
      <c r="K29" s="1">
        <v>16</v>
      </c>
      <c r="L29" s="263" t="s">
        <v>728</v>
      </c>
      <c r="M29" s="958">
        <f>VLOOKUP("Pin 2",Data!$A$212:$I$222,8,FALSE)</f>
        <v>34</v>
      </c>
      <c r="N29" s="1269" t="str">
        <f t="shared" si="9"/>
        <v>Veh Det 34</v>
      </c>
      <c r="Q29" s="2">
        <f>Q28+1</f>
        <v>1</v>
      </c>
      <c r="R29" s="2" t="s">
        <v>444</v>
      </c>
      <c r="T29" s="2">
        <f>T28+1</f>
        <v>1</v>
      </c>
      <c r="U29" s="2" t="s">
        <v>445</v>
      </c>
    </row>
    <row r="30" spans="1:22" ht="13.8">
      <c r="A30" s="266">
        <f t="shared" si="4"/>
        <v>66</v>
      </c>
      <c r="B30" s="267" t="s">
        <v>446</v>
      </c>
      <c r="C30" s="964">
        <f>VLOOKUP("Pin 8",Data!$A$212:$I$222,5,FALSE)</f>
        <v>24</v>
      </c>
      <c r="D30" s="964" t="str">
        <f t="shared" si="8"/>
        <v>Veh Det 24</v>
      </c>
      <c r="E30" s="155"/>
      <c r="F30" s="266">
        <f t="shared" si="7"/>
        <v>28</v>
      </c>
      <c r="G30" s="276" t="s">
        <v>688</v>
      </c>
      <c r="H30" s="275">
        <f>VLOOKUP("Pin 2",Data!$A$223:$I$233,5,FALSE)</f>
        <v>63</v>
      </c>
      <c r="I30" s="275" t="str">
        <f t="shared" si="5"/>
        <v>Grn Chan 15</v>
      </c>
      <c r="J30" s="156"/>
      <c r="K30" s="1126">
        <v>17</v>
      </c>
      <c r="L30" s="280" t="s">
        <v>729</v>
      </c>
      <c r="M30" s="964">
        <f>VLOOKUP("Pin 3",Data!$A$212:$I$222,8,FALSE)</f>
        <v>35</v>
      </c>
      <c r="N30" s="1268" t="str">
        <f t="shared" si="9"/>
        <v>Veh Det 35</v>
      </c>
      <c r="Q30" s="2">
        <f t="shared" ref="Q30:Q92" si="10">Q29+1</f>
        <v>2</v>
      </c>
      <c r="R30" s="2" t="s">
        <v>447</v>
      </c>
      <c r="T30" s="2">
        <f t="shared" ref="T30:T93" si="11">T29+1</f>
        <v>2</v>
      </c>
      <c r="U30" s="2" t="s">
        <v>448</v>
      </c>
    </row>
    <row r="31" spans="1:22" ht="13.8">
      <c r="A31" s="171">
        <f t="shared" si="4"/>
        <v>67</v>
      </c>
      <c r="B31" s="172" t="s">
        <v>449</v>
      </c>
      <c r="C31" s="958">
        <f>VLOOKUP("Pin 1",Data!$A$212:$I$222,6,FALSE)</f>
        <v>130</v>
      </c>
      <c r="D31" s="958" t="str">
        <f t="shared" si="8"/>
        <v>Ped Call 2</v>
      </c>
      <c r="E31" s="155"/>
      <c r="F31" s="171">
        <f t="shared" si="7"/>
        <v>29</v>
      </c>
      <c r="G31" s="175" t="s">
        <v>689</v>
      </c>
      <c r="H31" s="174">
        <f>VLOOKUP("Pin 3",Data!$A$223:$I$233,5,FALSE)</f>
        <v>6</v>
      </c>
      <c r="I31" s="174" t="str">
        <f t="shared" si="5"/>
        <v>Red Ch 6</v>
      </c>
      <c r="J31" s="156"/>
      <c r="K31" s="1">
        <v>18</v>
      </c>
      <c r="L31" s="263" t="s">
        <v>730</v>
      </c>
      <c r="M31" s="958">
        <f>VLOOKUP("Pin 4",Data!$A$212:$I$222,8,FALSE)</f>
        <v>36</v>
      </c>
      <c r="N31" s="1269" t="str">
        <f t="shared" si="9"/>
        <v>Veh Det 36</v>
      </c>
      <c r="Q31" s="2">
        <f t="shared" si="10"/>
        <v>3</v>
      </c>
      <c r="R31" s="2" t="s">
        <v>450</v>
      </c>
      <c r="T31" s="2">
        <f t="shared" si="11"/>
        <v>3</v>
      </c>
      <c r="U31" s="2" t="s">
        <v>451</v>
      </c>
    </row>
    <row r="32" spans="1:22" ht="13.8">
      <c r="A32" s="266">
        <f t="shared" si="4"/>
        <v>68</v>
      </c>
      <c r="B32" s="267" t="s">
        <v>452</v>
      </c>
      <c r="C32" s="964">
        <f>VLOOKUP("Pin 2",Data!$A$212:$I$222,6,FALSE)</f>
        <v>134</v>
      </c>
      <c r="D32" s="964" t="str">
        <f t="shared" si="8"/>
        <v>Ped Call 6</v>
      </c>
      <c r="E32" s="155"/>
      <c r="F32" s="266">
        <f t="shared" si="7"/>
        <v>30</v>
      </c>
      <c r="G32" s="276" t="s">
        <v>690</v>
      </c>
      <c r="H32" s="275">
        <f>VLOOKUP("Pin 4",Data!$A$223:$I$233,5,FALSE)</f>
        <v>30</v>
      </c>
      <c r="I32" s="275" t="str">
        <f t="shared" si="5"/>
        <v>Yel Chan 6</v>
      </c>
      <c r="J32" s="156"/>
      <c r="K32" s="1126">
        <v>19</v>
      </c>
      <c r="L32" s="280" t="s">
        <v>731</v>
      </c>
      <c r="M32" s="964">
        <f>VLOOKUP("Pin 5",Data!$A$212:$I$222,8,FALSE)</f>
        <v>37</v>
      </c>
      <c r="N32" s="1268" t="str">
        <f t="shared" si="9"/>
        <v>Veh Det 37</v>
      </c>
      <c r="Q32" s="2">
        <f t="shared" si="10"/>
        <v>4</v>
      </c>
      <c r="R32" s="2" t="s">
        <v>453</v>
      </c>
      <c r="T32" s="2">
        <f t="shared" si="11"/>
        <v>4</v>
      </c>
      <c r="U32" s="2" t="s">
        <v>454</v>
      </c>
    </row>
    <row r="33" spans="1:21" ht="13.8">
      <c r="A33" s="171">
        <f t="shared" si="4"/>
        <v>69</v>
      </c>
      <c r="B33" s="172" t="s">
        <v>455</v>
      </c>
      <c r="C33" s="958">
        <f>VLOOKUP("Pin 3",Data!$A$212:$I$222,6,FALSE)</f>
        <v>132</v>
      </c>
      <c r="D33" s="958" t="str">
        <f t="shared" si="8"/>
        <v>Ped Call 4</v>
      </c>
      <c r="E33" s="155"/>
      <c r="F33" s="171">
        <f t="shared" si="7"/>
        <v>31</v>
      </c>
      <c r="G33" s="175" t="s">
        <v>691</v>
      </c>
      <c r="H33" s="174">
        <f>VLOOKUP("Pin 5",Data!$A$223:$I$233,5,FALSE)</f>
        <v>54</v>
      </c>
      <c r="I33" s="174" t="str">
        <f t="shared" si="5"/>
        <v>Grn Chan 6</v>
      </c>
      <c r="J33" s="156"/>
      <c r="K33" s="1">
        <v>20</v>
      </c>
      <c r="L33" s="263" t="s">
        <v>732</v>
      </c>
      <c r="M33" s="958">
        <f>VLOOKUP("Pin 6",Data!$A$212:$I$222,8,FALSE)</f>
        <v>38</v>
      </c>
      <c r="N33" s="1269" t="str">
        <f t="shared" si="9"/>
        <v>Veh Det 38</v>
      </c>
      <c r="Q33" s="2">
        <f t="shared" si="10"/>
        <v>5</v>
      </c>
      <c r="R33" s="2" t="s">
        <v>456</v>
      </c>
      <c r="T33" s="2">
        <f t="shared" si="11"/>
        <v>5</v>
      </c>
      <c r="U33" s="2" t="s">
        <v>457</v>
      </c>
    </row>
    <row r="34" spans="1:21" ht="13.8">
      <c r="A34" s="266">
        <f t="shared" si="4"/>
        <v>70</v>
      </c>
      <c r="B34" s="267" t="s">
        <v>458</v>
      </c>
      <c r="C34" s="964">
        <f>VLOOKUP("Pin 4",Data!$A$212:$I$222,6,FALSE)</f>
        <v>136</v>
      </c>
      <c r="D34" s="964" t="str">
        <f t="shared" si="8"/>
        <v>Ped Call 8</v>
      </c>
      <c r="E34" s="155"/>
      <c r="F34" s="266">
        <f t="shared" si="7"/>
        <v>32</v>
      </c>
      <c r="G34" s="276" t="s">
        <v>692</v>
      </c>
      <c r="H34" s="275">
        <f>VLOOKUP("Pin 6",Data!$A$223:$I$233,5,FALSE)</f>
        <v>5</v>
      </c>
      <c r="I34" s="275" t="str">
        <f t="shared" si="5"/>
        <v>Red Ch 5</v>
      </c>
      <c r="J34" s="156"/>
      <c r="K34" s="1126">
        <v>21</v>
      </c>
      <c r="L34" s="280" t="s">
        <v>733</v>
      </c>
      <c r="M34" s="964">
        <f>VLOOKUP("Pin 7",Data!$A$212:$I$222,8,FALSE)</f>
        <v>39</v>
      </c>
      <c r="N34" s="1268" t="str">
        <f t="shared" si="9"/>
        <v>Veh Det 39</v>
      </c>
      <c r="Q34" s="2">
        <f t="shared" si="10"/>
        <v>6</v>
      </c>
      <c r="R34" s="2" t="s">
        <v>459</v>
      </c>
      <c r="T34" s="2">
        <f t="shared" si="11"/>
        <v>6</v>
      </c>
      <c r="U34" s="2" t="s">
        <v>460</v>
      </c>
    </row>
    <row r="35" spans="1:21" ht="13.8">
      <c r="A35" s="171">
        <f t="shared" si="4"/>
        <v>71</v>
      </c>
      <c r="B35" s="172" t="s">
        <v>461</v>
      </c>
      <c r="C35" s="958">
        <f>VLOOKUP("Pin 5",Data!$A$212:$I$222,6,FALSE)</f>
        <v>200</v>
      </c>
      <c r="D35" s="958" t="str">
        <f t="shared" si="8"/>
        <v>Pre 3 In</v>
      </c>
      <c r="E35" s="155"/>
      <c r="F35" s="171">
        <f t="shared" si="7"/>
        <v>33</v>
      </c>
      <c r="G35" s="175" t="s">
        <v>693</v>
      </c>
      <c r="H35" s="174">
        <f>VLOOKUP("Pin 7",Data!$A$223:$I$233,5,FALSE)</f>
        <v>29</v>
      </c>
      <c r="I35" s="174" t="str">
        <f t="shared" si="5"/>
        <v>Yel Chan 5</v>
      </c>
      <c r="J35" s="156"/>
      <c r="K35" s="1">
        <v>22</v>
      </c>
      <c r="L35" s="263" t="s">
        <v>734</v>
      </c>
      <c r="M35" s="958">
        <f>VLOOKUP("Pin 8",Data!$A$212:$I$222,8,FALSE)</f>
        <v>40</v>
      </c>
      <c r="N35" s="1269" t="str">
        <f t="shared" si="9"/>
        <v>Veh Det 40</v>
      </c>
      <c r="Q35" s="2">
        <f t="shared" si="10"/>
        <v>7</v>
      </c>
      <c r="R35" s="2" t="s">
        <v>462</v>
      </c>
      <c r="T35" s="2">
        <f t="shared" si="11"/>
        <v>7</v>
      </c>
      <c r="U35" s="2" t="s">
        <v>463</v>
      </c>
    </row>
    <row r="36" spans="1:21" ht="13.8">
      <c r="A36" s="266">
        <f t="shared" si="4"/>
        <v>72</v>
      </c>
      <c r="B36" s="267" t="s">
        <v>464</v>
      </c>
      <c r="C36" s="964">
        <f>VLOOKUP("Pin 6",Data!$A$212:$I$222,6,FALSE)</f>
        <v>201</v>
      </c>
      <c r="D36" s="964" t="str">
        <f t="shared" si="8"/>
        <v>Pre 4 In</v>
      </c>
      <c r="E36" s="155"/>
      <c r="F36" s="266">
        <f t="shared" si="7"/>
        <v>34</v>
      </c>
      <c r="G36" s="276" t="s">
        <v>694</v>
      </c>
      <c r="H36" s="275">
        <f>VLOOKUP("Pin 8",Data!$A$223:$I$233,5,FALSE)</f>
        <v>53</v>
      </c>
      <c r="I36" s="275" t="str">
        <f t="shared" si="5"/>
        <v>Grn Chan 5</v>
      </c>
      <c r="J36" s="156"/>
      <c r="K36" s="1126">
        <v>23</v>
      </c>
      <c r="L36" s="280" t="s">
        <v>735</v>
      </c>
      <c r="M36" s="964">
        <f>VLOOKUP("Pin 1",Data!$A$212:$I$222,9,FALSE)</f>
        <v>41</v>
      </c>
      <c r="N36" s="1268" t="str">
        <f t="shared" si="9"/>
        <v>Veh Det 41</v>
      </c>
      <c r="Q36" s="2">
        <f t="shared" si="10"/>
        <v>8</v>
      </c>
      <c r="R36" s="2" t="s">
        <v>465</v>
      </c>
      <c r="T36" s="2">
        <f t="shared" si="11"/>
        <v>8</v>
      </c>
      <c r="U36" s="2" t="s">
        <v>466</v>
      </c>
    </row>
    <row r="37" spans="1:21" ht="13.8">
      <c r="A37" s="171">
        <f t="shared" si="4"/>
        <v>73</v>
      </c>
      <c r="B37" s="172" t="s">
        <v>467</v>
      </c>
      <c r="C37" s="958">
        <f>VLOOKUP("Pin 7",Data!$A$212:$I$222,6,FALSE)</f>
        <v>202</v>
      </c>
      <c r="D37" s="958" t="str">
        <f t="shared" si="8"/>
        <v>Pre 5 In</v>
      </c>
      <c r="E37" s="155"/>
      <c r="F37" s="171">
        <f t="shared" si="7"/>
        <v>35</v>
      </c>
      <c r="G37" s="173" t="s">
        <v>695</v>
      </c>
      <c r="H37" s="174">
        <f>VLOOKUP("Pin 1",Data!$A$223:$I$233,6,FALSE)</f>
        <v>37</v>
      </c>
      <c r="I37" s="174" t="str">
        <f t="shared" si="5"/>
        <v>Yel Chan 13</v>
      </c>
      <c r="J37" s="156"/>
      <c r="K37" s="1">
        <v>24</v>
      </c>
      <c r="L37" s="263" t="s">
        <v>736</v>
      </c>
      <c r="M37" s="958">
        <f>VLOOKUP("Pin 2",Data!$A$212:$I$222,9,FALSE)</f>
        <v>42</v>
      </c>
      <c r="N37" s="1269" t="str">
        <f t="shared" si="9"/>
        <v>Veh Det 42</v>
      </c>
      <c r="Q37" s="2">
        <f t="shared" si="10"/>
        <v>9</v>
      </c>
      <c r="R37" s="2" t="s">
        <v>468</v>
      </c>
      <c r="T37" s="2">
        <f t="shared" si="11"/>
        <v>9</v>
      </c>
      <c r="U37" s="2" t="s">
        <v>469</v>
      </c>
    </row>
    <row r="38" spans="1:21" ht="13.8">
      <c r="A38" s="266">
        <f t="shared" si="4"/>
        <v>74</v>
      </c>
      <c r="B38" s="267" t="s">
        <v>470</v>
      </c>
      <c r="C38" s="964">
        <f>VLOOKUP("Pin 8",Data!$A$212:$I$222,6,FALSE)</f>
        <v>203</v>
      </c>
      <c r="D38" s="964" t="str">
        <f t="shared" si="8"/>
        <v>Pre 6 In</v>
      </c>
      <c r="E38" s="155"/>
      <c r="F38" s="266">
        <f t="shared" si="7"/>
        <v>36</v>
      </c>
      <c r="G38" s="268" t="s">
        <v>696</v>
      </c>
      <c r="H38" s="275">
        <f>VLOOKUP("Pin 2",Data!$A$223:$I$233,6,FALSE)</f>
        <v>39</v>
      </c>
      <c r="I38" s="275" t="str">
        <f t="shared" si="5"/>
        <v>Yel Chan 15</v>
      </c>
      <c r="J38" s="156"/>
      <c r="K38" s="1126">
        <v>25</v>
      </c>
      <c r="L38" s="280" t="s">
        <v>737</v>
      </c>
      <c r="M38" s="964">
        <f>VLOOKUP("Pin 3",Data!$A$212:$I$222,9,FALSE)</f>
        <v>43</v>
      </c>
      <c r="N38" s="1268" t="str">
        <f t="shared" si="9"/>
        <v>Veh Det 43</v>
      </c>
      <c r="Q38" s="2">
        <f t="shared" si="10"/>
        <v>10</v>
      </c>
      <c r="R38" s="2" t="s">
        <v>471</v>
      </c>
      <c r="T38" s="2">
        <f t="shared" si="11"/>
        <v>10</v>
      </c>
      <c r="U38" s="2" t="s">
        <v>472</v>
      </c>
    </row>
    <row r="39" spans="1:21" ht="13.8">
      <c r="A39" s="171">
        <f t="shared" si="4"/>
        <v>75</v>
      </c>
      <c r="B39" s="172" t="s">
        <v>473</v>
      </c>
      <c r="C39" s="958">
        <f>VLOOKUP("Pin 1",Data!$A$212:$I$222,7,FALSE)</f>
        <v>32</v>
      </c>
      <c r="D39" s="958" t="str">
        <f t="shared" si="8"/>
        <v>Veh Det 32</v>
      </c>
      <c r="E39" s="155"/>
      <c r="F39" s="171">
        <f t="shared" si="7"/>
        <v>37</v>
      </c>
      <c r="G39" s="173" t="s">
        <v>697</v>
      </c>
      <c r="H39" s="174">
        <f>VLOOKUP("Pin 3",Data!$A$223:$I$233,6,FALSE)</f>
        <v>38</v>
      </c>
      <c r="I39" s="174" t="str">
        <f t="shared" si="5"/>
        <v>Yel Chan 14</v>
      </c>
      <c r="J39" s="156"/>
      <c r="K39" s="1">
        <v>26</v>
      </c>
      <c r="L39" s="263" t="s">
        <v>738</v>
      </c>
      <c r="M39" s="958">
        <f>VLOOKUP("Pin 4",Data!$A$212:$I$222,9,FALSE)</f>
        <v>44</v>
      </c>
      <c r="N39" s="1269" t="str">
        <f t="shared" si="9"/>
        <v>Veh Det 44</v>
      </c>
      <c r="Q39" s="2">
        <f t="shared" si="10"/>
        <v>11</v>
      </c>
      <c r="R39" s="2" t="s">
        <v>474</v>
      </c>
      <c r="T39" s="2">
        <f t="shared" si="11"/>
        <v>11</v>
      </c>
      <c r="U39" s="2" t="s">
        <v>475</v>
      </c>
    </row>
    <row r="40" spans="1:21" ht="13.8">
      <c r="A40" s="266">
        <f t="shared" si="4"/>
        <v>76</v>
      </c>
      <c r="B40" s="267" t="s">
        <v>476</v>
      </c>
      <c r="C40" s="964">
        <f>VLOOKUP("Pin 2",Data!$A$212:$I$222,7,FALSE)</f>
        <v>5</v>
      </c>
      <c r="D40" s="964" t="str">
        <f t="shared" si="8"/>
        <v>Veh Det 5</v>
      </c>
      <c r="E40" s="155"/>
      <c r="F40" s="266">
        <f t="shared" si="7"/>
        <v>38</v>
      </c>
      <c r="G40" s="268" t="s">
        <v>698</v>
      </c>
      <c r="H40" s="275">
        <f>VLOOKUP("Pin 4",Data!$A$223:$I$233,6,FALSE)</f>
        <v>40</v>
      </c>
      <c r="I40" s="275" t="str">
        <f t="shared" si="5"/>
        <v>Yel Chan 16</v>
      </c>
      <c r="J40" s="156"/>
      <c r="K40" s="1126">
        <v>27</v>
      </c>
      <c r="L40" s="280" t="s">
        <v>739</v>
      </c>
      <c r="M40" s="964">
        <f>VLOOKUP("Pin 5",Data!$A$212:$I$222,9,FALSE)</f>
        <v>189</v>
      </c>
      <c r="N40" s="1268" t="str">
        <f t="shared" si="9"/>
        <v>Unused</v>
      </c>
      <c r="Q40" s="2">
        <f t="shared" si="10"/>
        <v>12</v>
      </c>
      <c r="R40" s="2" t="s">
        <v>477</v>
      </c>
      <c r="T40" s="2">
        <f t="shared" si="11"/>
        <v>12</v>
      </c>
      <c r="U40" s="2" t="s">
        <v>478</v>
      </c>
    </row>
    <row r="41" spans="1:21" ht="13.8">
      <c r="A41" s="171">
        <f t="shared" si="4"/>
        <v>77</v>
      </c>
      <c r="B41" s="172" t="s">
        <v>479</v>
      </c>
      <c r="C41" s="958">
        <f>VLOOKUP("Pin 3",Data!$A$212:$I$222,7,FALSE)</f>
        <v>19</v>
      </c>
      <c r="D41" s="958" t="str">
        <f t="shared" si="8"/>
        <v>Veh Det 19</v>
      </c>
      <c r="E41" s="155"/>
      <c r="F41" s="171">
        <v>100</v>
      </c>
      <c r="G41" s="176" t="s">
        <v>699</v>
      </c>
      <c r="H41" s="174">
        <f>VLOOKUP("Pin 5",Data!$A$223:$I$233,6,FALSE)</f>
        <v>42</v>
      </c>
      <c r="I41" s="174" t="str">
        <f t="shared" si="5"/>
        <v>Yel Chan 18</v>
      </c>
      <c r="J41" s="156"/>
      <c r="K41" s="1">
        <v>28</v>
      </c>
      <c r="L41" s="263" t="s">
        <v>740</v>
      </c>
      <c r="M41" s="958">
        <f>VLOOKUP("Pin 6",Data!$A$212:$I$222,9,FALSE)</f>
        <v>189</v>
      </c>
      <c r="N41" s="1269" t="str">
        <f t="shared" si="9"/>
        <v>Unused</v>
      </c>
      <c r="Q41" s="2">
        <f t="shared" si="10"/>
        <v>13</v>
      </c>
      <c r="R41" s="2" t="s">
        <v>480</v>
      </c>
      <c r="T41" s="2">
        <f t="shared" si="11"/>
        <v>13</v>
      </c>
      <c r="U41" s="2" t="s">
        <v>481</v>
      </c>
    </row>
    <row r="42" spans="1:21" ht="13.8">
      <c r="A42" s="266">
        <f t="shared" si="4"/>
        <v>78</v>
      </c>
      <c r="B42" s="267" t="s">
        <v>482</v>
      </c>
      <c r="C42" s="964">
        <f>VLOOKUP("Pin 4",Data!$A$212:$I$222,7,FALSE)</f>
        <v>11</v>
      </c>
      <c r="D42" s="964" t="str">
        <f t="shared" si="8"/>
        <v>Veh Det 11</v>
      </c>
      <c r="E42" s="155"/>
      <c r="F42" s="266">
        <f>F41+1</f>
        <v>101</v>
      </c>
      <c r="G42" s="274" t="s">
        <v>700</v>
      </c>
      <c r="H42" s="275">
        <f>VLOOKUP("Pin 6",Data!$A$223:$I$233,6,FALSE)</f>
        <v>41</v>
      </c>
      <c r="I42" s="275" t="str">
        <f t="shared" si="5"/>
        <v>Yel Chan 17</v>
      </c>
      <c r="J42" s="156"/>
      <c r="K42" s="1126">
        <v>29</v>
      </c>
      <c r="L42" s="280" t="s">
        <v>741</v>
      </c>
      <c r="M42" s="964">
        <f>VLOOKUP("Pin 7",Data!$A$212:$I$222,9,FALSE)</f>
        <v>189</v>
      </c>
      <c r="N42" s="1268" t="str">
        <f t="shared" si="9"/>
        <v>Unused</v>
      </c>
      <c r="Q42" s="2">
        <f t="shared" si="10"/>
        <v>14</v>
      </c>
      <c r="R42" s="2" t="s">
        <v>483</v>
      </c>
      <c r="T42" s="2">
        <f t="shared" si="11"/>
        <v>14</v>
      </c>
      <c r="U42" s="2" t="s">
        <v>484</v>
      </c>
    </row>
    <row r="43" spans="1:21" ht="13.8">
      <c r="A43" s="171">
        <f t="shared" si="4"/>
        <v>79</v>
      </c>
      <c r="B43" s="172" t="s">
        <v>485</v>
      </c>
      <c r="C43" s="958">
        <f>VLOOKUP("Pin 5",Data!$A$212:$I$222,7,FALSE)</f>
        <v>25</v>
      </c>
      <c r="D43" s="958" t="str">
        <f t="shared" si="8"/>
        <v>Veh Det 25</v>
      </c>
      <c r="E43" s="155"/>
      <c r="F43" s="171">
        <f>F42+1</f>
        <v>102</v>
      </c>
      <c r="G43" s="176" t="s">
        <v>701</v>
      </c>
      <c r="H43" s="174">
        <f>VLOOKUP("Pin 7",Data!$A$223:$I$233,6,FALSE)</f>
        <v>115</v>
      </c>
      <c r="I43" s="174" t="str">
        <f t="shared" si="5"/>
        <v>Not Used</v>
      </c>
      <c r="J43" s="156"/>
      <c r="K43" s="1">
        <v>30</v>
      </c>
      <c r="L43" s="263" t="s">
        <v>742</v>
      </c>
      <c r="M43" s="958">
        <f>VLOOKUP("Pin 8",Data!$A$212:$I$222,9,FALSE)</f>
        <v>189</v>
      </c>
      <c r="N43" s="1269" t="str">
        <f t="shared" si="9"/>
        <v>Unused</v>
      </c>
      <c r="Q43" s="2">
        <f t="shared" si="10"/>
        <v>15</v>
      </c>
      <c r="R43" s="2" t="s">
        <v>486</v>
      </c>
      <c r="T43" s="2">
        <f t="shared" si="11"/>
        <v>15</v>
      </c>
      <c r="U43" s="2" t="s">
        <v>487</v>
      </c>
    </row>
    <row r="44" spans="1:21" ht="13.8">
      <c r="A44" s="266">
        <f t="shared" si="4"/>
        <v>80</v>
      </c>
      <c r="B44" s="267" t="s">
        <v>488</v>
      </c>
      <c r="C44" s="958">
        <f>VLOOKUP("Pin 6",Data!$A$212:$I$222,7,FALSE)</f>
        <v>29</v>
      </c>
      <c r="D44" s="958" t="str">
        <f t="shared" si="8"/>
        <v>Veh Det 29</v>
      </c>
      <c r="E44" s="155"/>
      <c r="F44" s="266">
        <f>F43+1</f>
        <v>103</v>
      </c>
      <c r="G44" s="274" t="s">
        <v>702</v>
      </c>
      <c r="H44" s="275">
        <f>VLOOKUP("Pin 8",Data!$A$223:$I$233,6,FALSE)</f>
        <v>114</v>
      </c>
      <c r="I44" s="275" t="str">
        <f t="shared" si="5"/>
        <v>Watchdog</v>
      </c>
      <c r="J44" s="156"/>
      <c r="K44" s="1126"/>
      <c r="L44" s="1126"/>
      <c r="M44" s="1126"/>
      <c r="N44" s="279"/>
      <c r="Q44" s="2">
        <f t="shared" si="10"/>
        <v>16</v>
      </c>
      <c r="R44" s="2" t="s">
        <v>489</v>
      </c>
      <c r="T44" s="2">
        <f t="shared" si="11"/>
        <v>16</v>
      </c>
      <c r="U44" s="2" t="s">
        <v>490</v>
      </c>
    </row>
    <row r="45" spans="1:21" ht="13.8">
      <c r="A45" s="171">
        <f t="shared" si="4"/>
        <v>81</v>
      </c>
      <c r="B45" s="172" t="s">
        <v>491</v>
      </c>
      <c r="C45" s="958">
        <f>VLOOKUP("Pin 7",Data!$A$212:$I$222,7,FALSE)</f>
        <v>208</v>
      </c>
      <c r="D45" s="958" t="str">
        <f t="shared" si="8"/>
        <v>Local Flash</v>
      </c>
      <c r="E45" s="155"/>
      <c r="F45" s="177"/>
      <c r="G45" s="178"/>
      <c r="H45" s="174"/>
      <c r="I45" s="174"/>
      <c r="J45" s="156"/>
      <c r="K45" s="1"/>
      <c r="L45" s="1"/>
      <c r="M45" s="1"/>
      <c r="N45" s="135"/>
      <c r="Q45" s="2">
        <f t="shared" si="10"/>
        <v>17</v>
      </c>
      <c r="R45" s="2" t="s">
        <v>492</v>
      </c>
      <c r="T45" s="2">
        <f t="shared" si="11"/>
        <v>17</v>
      </c>
      <c r="U45" s="2" t="s">
        <v>493</v>
      </c>
    </row>
    <row r="46" spans="1:21" ht="14.4" thickBot="1">
      <c r="A46" s="269">
        <f t="shared" si="4"/>
        <v>82</v>
      </c>
      <c r="B46" s="270" t="s">
        <v>494</v>
      </c>
      <c r="C46" s="960">
        <f>VLOOKUP("Pin 8",Data!$A$212:$I$222,7,FALSE)</f>
        <v>207</v>
      </c>
      <c r="D46" s="958" t="str">
        <f t="shared" si="8"/>
        <v>Comp StopTm</v>
      </c>
      <c r="E46" s="206"/>
      <c r="F46" s="271"/>
      <c r="G46" s="272"/>
      <c r="H46" s="273"/>
      <c r="I46" s="273"/>
      <c r="J46" s="207"/>
      <c r="K46" s="277"/>
      <c r="L46" s="277"/>
      <c r="M46" s="277"/>
      <c r="N46" s="278"/>
      <c r="Q46" s="2">
        <f t="shared" si="10"/>
        <v>18</v>
      </c>
      <c r="R46" s="2" t="s">
        <v>495</v>
      </c>
      <c r="T46" s="2">
        <f t="shared" si="11"/>
        <v>18</v>
      </c>
      <c r="U46" s="2" t="s">
        <v>496</v>
      </c>
    </row>
    <row r="47" spans="1:21" ht="13.8">
      <c r="A47" s="27"/>
      <c r="B47" s="28"/>
      <c r="C47" s="28"/>
      <c r="D47" s="137"/>
      <c r="E47" s="28"/>
      <c r="F47" s="28"/>
      <c r="G47" s="28"/>
      <c r="H47" s="28"/>
      <c r="I47" s="137"/>
      <c r="J47" s="28"/>
      <c r="K47" s="28"/>
      <c r="L47" s="28"/>
      <c r="M47" s="28"/>
      <c r="N47" s="65"/>
      <c r="Q47" s="2">
        <f t="shared" si="10"/>
        <v>19</v>
      </c>
      <c r="R47" s="2" t="s">
        <v>497</v>
      </c>
      <c r="T47" s="2">
        <f t="shared" si="11"/>
        <v>19</v>
      </c>
      <c r="U47" s="2" t="s">
        <v>498</v>
      </c>
    </row>
    <row r="48" spans="1:21" ht="13.8">
      <c r="A48" s="29"/>
      <c r="B48" s="30"/>
      <c r="C48" s="30"/>
      <c r="D48" s="138"/>
      <c r="E48" s="30"/>
      <c r="F48" s="30"/>
      <c r="G48" s="30"/>
      <c r="H48" s="30"/>
      <c r="I48" s="138"/>
      <c r="J48" s="30"/>
      <c r="K48" s="30"/>
      <c r="L48" s="30"/>
      <c r="M48" s="30"/>
      <c r="N48" s="31"/>
      <c r="Q48" s="2">
        <f t="shared" si="10"/>
        <v>20</v>
      </c>
      <c r="R48" s="2" t="s">
        <v>499</v>
      </c>
      <c r="T48" s="2">
        <f t="shared" si="11"/>
        <v>20</v>
      </c>
      <c r="U48" s="2" t="s">
        <v>500</v>
      </c>
    </row>
    <row r="49" spans="1:36" ht="32.4">
      <c r="A49" s="29"/>
      <c r="B49" s="2687" t="s">
        <v>4000</v>
      </c>
      <c r="C49" s="2687"/>
      <c r="D49" s="2688"/>
      <c r="E49" s="2687"/>
      <c r="F49" s="2687"/>
      <c r="G49" s="2687"/>
      <c r="H49" s="30"/>
      <c r="I49" s="138"/>
      <c r="J49" s="30"/>
      <c r="K49" s="30"/>
      <c r="L49" s="30"/>
      <c r="M49" s="30"/>
      <c r="N49" s="31"/>
      <c r="Q49" s="2">
        <f t="shared" si="10"/>
        <v>21</v>
      </c>
      <c r="R49" s="2" t="s">
        <v>501</v>
      </c>
      <c r="T49" s="2">
        <f t="shared" si="11"/>
        <v>21</v>
      </c>
      <c r="U49" s="2" t="s">
        <v>502</v>
      </c>
    </row>
    <row r="50" spans="1:36" ht="10.199999999999999" customHeight="1">
      <c r="A50" s="139"/>
      <c r="B50" s="2687"/>
      <c r="C50" s="2688"/>
      <c r="D50" s="2688"/>
      <c r="E50" s="2687"/>
      <c r="F50" s="2687"/>
      <c r="G50" s="2687"/>
      <c r="H50" s="30"/>
      <c r="I50" s="138"/>
      <c r="J50" s="30"/>
      <c r="K50" s="30"/>
      <c r="L50" s="30"/>
      <c r="M50" s="30"/>
      <c r="N50" s="31"/>
      <c r="Q50" s="2">
        <f t="shared" si="10"/>
        <v>22</v>
      </c>
      <c r="R50" s="2" t="s">
        <v>503</v>
      </c>
      <c r="T50" s="2">
        <f t="shared" si="11"/>
        <v>22</v>
      </c>
      <c r="U50" s="2" t="s">
        <v>504</v>
      </c>
      <c r="AG50" s="79"/>
      <c r="AH50" s="79"/>
      <c r="AI50" s="79"/>
      <c r="AJ50" s="79"/>
    </row>
    <row r="51" spans="1:36" ht="16.2" customHeight="1">
      <c r="A51" s="139"/>
      <c r="B51" s="2687"/>
      <c r="C51" s="2688"/>
      <c r="D51" s="2688"/>
      <c r="E51" s="2687"/>
      <c r="F51" s="2687"/>
      <c r="G51" s="2687"/>
      <c r="H51" s="30"/>
      <c r="I51" s="138"/>
      <c r="J51" s="30"/>
      <c r="K51" s="30"/>
      <c r="L51" s="30"/>
      <c r="M51" s="30"/>
      <c r="N51" s="31"/>
      <c r="Q51" s="2">
        <f t="shared" si="10"/>
        <v>23</v>
      </c>
      <c r="R51" s="2" t="s">
        <v>505</v>
      </c>
      <c r="T51" s="2">
        <f t="shared" si="11"/>
        <v>23</v>
      </c>
      <c r="U51" s="2" t="s">
        <v>506</v>
      </c>
    </row>
    <row r="52" spans="1:36" ht="13.8">
      <c r="A52" s="139"/>
      <c r="B52" s="2634" t="s">
        <v>654</v>
      </c>
      <c r="C52" s="138"/>
      <c r="D52" s="138"/>
      <c r="E52" s="30"/>
      <c r="F52" s="30"/>
      <c r="G52" s="30"/>
      <c r="H52" s="30"/>
      <c r="I52" s="138"/>
      <c r="J52" s="30"/>
      <c r="K52" s="30"/>
      <c r="L52" s="30"/>
      <c r="M52" s="30"/>
      <c r="N52" s="31"/>
      <c r="Q52" s="2">
        <f t="shared" si="10"/>
        <v>24</v>
      </c>
      <c r="R52" s="2" t="s">
        <v>507</v>
      </c>
      <c r="T52" s="2">
        <f t="shared" si="11"/>
        <v>24</v>
      </c>
      <c r="U52" s="2" t="s">
        <v>508</v>
      </c>
    </row>
    <row r="53" spans="1:36" ht="16.2" thickBot="1">
      <c r="A53" s="139"/>
      <c r="B53" s="2634"/>
      <c r="C53" s="492">
        <f>Data!B118</f>
        <v>0</v>
      </c>
      <c r="D53" s="138"/>
      <c r="E53" s="30"/>
      <c r="F53" s="30"/>
      <c r="G53" s="140"/>
      <c r="H53" s="138"/>
      <c r="I53" s="138"/>
      <c r="J53" s="30"/>
      <c r="K53" s="30"/>
      <c r="L53" s="30"/>
      <c r="M53" s="141"/>
      <c r="N53" s="142"/>
      <c r="Q53" s="2">
        <f t="shared" si="10"/>
        <v>25</v>
      </c>
      <c r="R53" s="2" t="s">
        <v>509</v>
      </c>
      <c r="T53" s="2">
        <f t="shared" si="11"/>
        <v>25</v>
      </c>
      <c r="U53" s="2" t="s">
        <v>510</v>
      </c>
    </row>
    <row r="54" spans="1:36" ht="13.5" customHeight="1">
      <c r="A54" s="2635" t="s">
        <v>655</v>
      </c>
      <c r="B54" s="2636"/>
      <c r="C54" s="2639" t="str">
        <f>Data!B124</f>
        <v>Alpha @ Beta</v>
      </c>
      <c r="D54" s="2639"/>
      <c r="E54" s="2639"/>
      <c r="F54" s="2639"/>
      <c r="G54" s="2640"/>
      <c r="H54" s="2629" t="s">
        <v>209</v>
      </c>
      <c r="I54" s="2630"/>
      <c r="J54" s="30"/>
      <c r="K54" s="30"/>
      <c r="L54" s="30"/>
      <c r="M54" s="141"/>
      <c r="N54" s="2631" t="s">
        <v>3965</v>
      </c>
      <c r="Q54" s="2">
        <f t="shared" si="10"/>
        <v>26</v>
      </c>
      <c r="R54" s="2" t="s">
        <v>511</v>
      </c>
      <c r="T54" s="2">
        <f t="shared" si="11"/>
        <v>26</v>
      </c>
      <c r="U54" s="2" t="s">
        <v>512</v>
      </c>
    </row>
    <row r="55" spans="1:36" ht="14.25" customHeight="1" thickBot="1">
      <c r="A55" s="2637"/>
      <c r="B55" s="2638"/>
      <c r="C55" s="2641"/>
      <c r="D55" s="2641"/>
      <c r="E55" s="2641"/>
      <c r="F55" s="2641"/>
      <c r="G55" s="2642"/>
      <c r="H55" s="2419">
        <f ca="1">TODAY()</f>
        <v>45364</v>
      </c>
      <c r="I55" s="2633"/>
      <c r="J55" s="70"/>
      <c r="K55" s="70"/>
      <c r="L55" s="70"/>
      <c r="M55" s="143"/>
      <c r="N55" s="2632"/>
      <c r="Q55" s="2">
        <f t="shared" si="10"/>
        <v>27</v>
      </c>
      <c r="R55" s="2" t="s">
        <v>513</v>
      </c>
      <c r="T55" s="2">
        <f t="shared" si="11"/>
        <v>27</v>
      </c>
      <c r="U55" s="2" t="s">
        <v>514</v>
      </c>
    </row>
    <row r="56" spans="1:36" ht="13.8">
      <c r="A56" s="78"/>
      <c r="B56" s="78"/>
      <c r="C56" s="77"/>
      <c r="D56" s="77"/>
      <c r="E56" s="78"/>
      <c r="F56" s="78"/>
      <c r="G56" s="78"/>
      <c r="H56" s="77"/>
      <c r="I56" s="77"/>
      <c r="J56" s="144"/>
      <c r="K56" s="144"/>
      <c r="L56" s="144"/>
      <c r="M56" s="144"/>
      <c r="N56" s="77"/>
      <c r="Q56" s="2">
        <f t="shared" si="10"/>
        <v>28</v>
      </c>
      <c r="R56" s="2" t="s">
        <v>515</v>
      </c>
      <c r="T56" s="2">
        <f t="shared" si="11"/>
        <v>28</v>
      </c>
      <c r="U56" s="2" t="s">
        <v>516</v>
      </c>
    </row>
    <row r="57" spans="1:36">
      <c r="Q57" s="2">
        <f t="shared" si="10"/>
        <v>29</v>
      </c>
      <c r="R57" s="2" t="s">
        <v>517</v>
      </c>
      <c r="T57" s="2">
        <f t="shared" si="11"/>
        <v>29</v>
      </c>
      <c r="U57" s="2" t="s">
        <v>518</v>
      </c>
    </row>
    <row r="58" spans="1:36">
      <c r="Q58" s="2">
        <f t="shared" si="10"/>
        <v>30</v>
      </c>
      <c r="R58" s="2" t="s">
        <v>519</v>
      </c>
      <c r="T58" s="2">
        <f t="shared" si="11"/>
        <v>30</v>
      </c>
      <c r="U58" s="2" t="s">
        <v>520</v>
      </c>
    </row>
    <row r="59" spans="1:36">
      <c r="Q59" s="2">
        <f t="shared" si="10"/>
        <v>31</v>
      </c>
      <c r="R59" s="2" t="s">
        <v>521</v>
      </c>
      <c r="T59" s="2">
        <f t="shared" si="11"/>
        <v>31</v>
      </c>
      <c r="U59" s="2" t="s">
        <v>522</v>
      </c>
    </row>
    <row r="60" spans="1:36">
      <c r="Q60" s="2">
        <f t="shared" si="10"/>
        <v>32</v>
      </c>
      <c r="R60" s="2" t="s">
        <v>523</v>
      </c>
      <c r="T60" s="2">
        <f t="shared" si="11"/>
        <v>32</v>
      </c>
      <c r="U60" s="2" t="s">
        <v>524</v>
      </c>
    </row>
    <row r="61" spans="1:36">
      <c r="Q61" s="2">
        <f t="shared" si="10"/>
        <v>33</v>
      </c>
      <c r="R61" s="2" t="s">
        <v>525</v>
      </c>
      <c r="T61" s="2">
        <f t="shared" si="11"/>
        <v>33</v>
      </c>
      <c r="U61" s="2" t="s">
        <v>526</v>
      </c>
    </row>
    <row r="62" spans="1:36">
      <c r="Q62" s="2">
        <f t="shared" si="10"/>
        <v>34</v>
      </c>
      <c r="R62" s="2" t="s">
        <v>527</v>
      </c>
      <c r="T62" s="2">
        <f t="shared" si="11"/>
        <v>34</v>
      </c>
      <c r="U62" s="2" t="s">
        <v>528</v>
      </c>
    </row>
    <row r="63" spans="1:36">
      <c r="Q63" s="2">
        <f t="shared" si="10"/>
        <v>35</v>
      </c>
      <c r="R63" s="2" t="s">
        <v>529</v>
      </c>
      <c r="T63" s="2">
        <f t="shared" si="11"/>
        <v>35</v>
      </c>
      <c r="U63" s="2" t="s">
        <v>530</v>
      </c>
    </row>
    <row r="64" spans="1:36">
      <c r="Q64" s="2">
        <f t="shared" si="10"/>
        <v>36</v>
      </c>
      <c r="R64" s="2" t="s">
        <v>531</v>
      </c>
      <c r="T64" s="2">
        <f t="shared" si="11"/>
        <v>36</v>
      </c>
      <c r="U64" s="2" t="s">
        <v>532</v>
      </c>
    </row>
    <row r="65" spans="17:21">
      <c r="Q65" s="2">
        <f t="shared" si="10"/>
        <v>37</v>
      </c>
      <c r="R65" s="2" t="s">
        <v>533</v>
      </c>
      <c r="T65" s="2">
        <f t="shared" si="11"/>
        <v>37</v>
      </c>
      <c r="U65" s="2" t="s">
        <v>534</v>
      </c>
    </row>
    <row r="66" spans="17:21">
      <c r="Q66" s="2">
        <f t="shared" si="10"/>
        <v>38</v>
      </c>
      <c r="R66" s="2" t="s">
        <v>535</v>
      </c>
      <c r="T66" s="2">
        <f t="shared" si="11"/>
        <v>38</v>
      </c>
      <c r="U66" s="2" t="s">
        <v>536</v>
      </c>
    </row>
    <row r="67" spans="17:21">
      <c r="Q67" s="2">
        <f t="shared" si="10"/>
        <v>39</v>
      </c>
      <c r="R67" s="2" t="s">
        <v>537</v>
      </c>
      <c r="T67" s="2">
        <f t="shared" si="11"/>
        <v>39</v>
      </c>
      <c r="U67" s="2" t="s">
        <v>538</v>
      </c>
    </row>
    <row r="68" spans="17:21">
      <c r="Q68" s="2">
        <f t="shared" si="10"/>
        <v>40</v>
      </c>
      <c r="R68" s="2" t="s">
        <v>539</v>
      </c>
      <c r="T68" s="2">
        <f t="shared" si="11"/>
        <v>40</v>
      </c>
      <c r="U68" s="2" t="s">
        <v>540</v>
      </c>
    </row>
    <row r="69" spans="17:21">
      <c r="Q69" s="2">
        <f t="shared" si="10"/>
        <v>41</v>
      </c>
      <c r="R69" s="2" t="s">
        <v>541</v>
      </c>
      <c r="T69" s="2">
        <f t="shared" si="11"/>
        <v>41</v>
      </c>
      <c r="U69" s="2" t="s">
        <v>542</v>
      </c>
    </row>
    <row r="70" spans="17:21">
      <c r="Q70" s="2">
        <f t="shared" si="10"/>
        <v>42</v>
      </c>
      <c r="R70" s="2" t="s">
        <v>543</v>
      </c>
      <c r="T70" s="2">
        <f t="shared" si="11"/>
        <v>42</v>
      </c>
      <c r="U70" s="2" t="s">
        <v>544</v>
      </c>
    </row>
    <row r="71" spans="17:21">
      <c r="Q71" s="2">
        <f t="shared" si="10"/>
        <v>43</v>
      </c>
      <c r="R71" s="2" t="s">
        <v>545</v>
      </c>
      <c r="T71" s="2">
        <f t="shared" si="11"/>
        <v>43</v>
      </c>
      <c r="U71" s="2" t="s">
        <v>546</v>
      </c>
    </row>
    <row r="72" spans="17:21">
      <c r="Q72" s="2">
        <f t="shared" si="10"/>
        <v>44</v>
      </c>
      <c r="R72" s="2" t="s">
        <v>547</v>
      </c>
      <c r="T72" s="2">
        <f t="shared" si="11"/>
        <v>44</v>
      </c>
      <c r="U72" s="2" t="s">
        <v>548</v>
      </c>
    </row>
    <row r="73" spans="17:21">
      <c r="Q73" s="2">
        <f t="shared" si="10"/>
        <v>45</v>
      </c>
      <c r="R73" s="2" t="s">
        <v>549</v>
      </c>
      <c r="T73" s="2">
        <f t="shared" si="11"/>
        <v>45</v>
      </c>
      <c r="U73" s="2" t="s">
        <v>550</v>
      </c>
    </row>
    <row r="74" spans="17:21">
      <c r="Q74" s="2">
        <f t="shared" si="10"/>
        <v>46</v>
      </c>
      <c r="R74" s="2" t="s">
        <v>551</v>
      </c>
      <c r="T74" s="2">
        <f t="shared" si="11"/>
        <v>46</v>
      </c>
      <c r="U74" s="2" t="s">
        <v>552</v>
      </c>
    </row>
    <row r="75" spans="17:21">
      <c r="Q75" s="2">
        <f t="shared" si="10"/>
        <v>47</v>
      </c>
      <c r="R75" s="2" t="s">
        <v>553</v>
      </c>
      <c r="T75" s="2">
        <f t="shared" si="11"/>
        <v>47</v>
      </c>
      <c r="U75" s="2" t="s">
        <v>554</v>
      </c>
    </row>
    <row r="76" spans="17:21">
      <c r="Q76" s="2">
        <f t="shared" si="10"/>
        <v>48</v>
      </c>
      <c r="R76" s="2" t="s">
        <v>555</v>
      </c>
      <c r="T76" s="2">
        <f t="shared" si="11"/>
        <v>48</v>
      </c>
      <c r="U76" s="2" t="s">
        <v>556</v>
      </c>
    </row>
    <row r="77" spans="17:21">
      <c r="Q77" s="2">
        <f t="shared" si="10"/>
        <v>49</v>
      </c>
      <c r="R77" s="2" t="s">
        <v>557</v>
      </c>
      <c r="T77" s="2">
        <f t="shared" si="11"/>
        <v>49</v>
      </c>
      <c r="U77" s="2" t="s">
        <v>558</v>
      </c>
    </row>
    <row r="78" spans="17:21">
      <c r="Q78" s="2">
        <f t="shared" si="10"/>
        <v>50</v>
      </c>
      <c r="R78" s="2" t="s">
        <v>559</v>
      </c>
      <c r="T78" s="2">
        <f t="shared" si="11"/>
        <v>50</v>
      </c>
      <c r="U78" s="2" t="s">
        <v>560</v>
      </c>
    </row>
    <row r="79" spans="17:21">
      <c r="Q79" s="2">
        <f t="shared" si="10"/>
        <v>51</v>
      </c>
      <c r="R79" s="2" t="s">
        <v>561</v>
      </c>
      <c r="T79" s="2">
        <f t="shared" si="11"/>
        <v>51</v>
      </c>
      <c r="U79" s="2" t="s">
        <v>562</v>
      </c>
    </row>
    <row r="80" spans="17:21">
      <c r="Q80" s="2">
        <f t="shared" si="10"/>
        <v>52</v>
      </c>
      <c r="R80" s="2" t="s">
        <v>563</v>
      </c>
      <c r="T80" s="2">
        <f t="shared" si="11"/>
        <v>52</v>
      </c>
      <c r="U80" s="2" t="s">
        <v>564</v>
      </c>
    </row>
    <row r="81" spans="17:21">
      <c r="Q81" s="2">
        <f t="shared" si="10"/>
        <v>53</v>
      </c>
      <c r="R81" s="2" t="s">
        <v>565</v>
      </c>
      <c r="T81" s="2">
        <f t="shared" si="11"/>
        <v>53</v>
      </c>
      <c r="U81" s="2" t="s">
        <v>566</v>
      </c>
    </row>
    <row r="82" spans="17:21">
      <c r="Q82" s="2">
        <f t="shared" si="10"/>
        <v>54</v>
      </c>
      <c r="R82" s="2" t="s">
        <v>567</v>
      </c>
      <c r="T82" s="2">
        <f t="shared" si="11"/>
        <v>54</v>
      </c>
      <c r="U82" s="2" t="s">
        <v>568</v>
      </c>
    </row>
    <row r="83" spans="17:21">
      <c r="Q83" s="2">
        <f t="shared" si="10"/>
        <v>55</v>
      </c>
      <c r="R83" s="2" t="s">
        <v>569</v>
      </c>
      <c r="T83" s="2">
        <f t="shared" si="11"/>
        <v>55</v>
      </c>
      <c r="U83" s="2" t="s">
        <v>570</v>
      </c>
    </row>
    <row r="84" spans="17:21">
      <c r="Q84" s="2">
        <f t="shared" si="10"/>
        <v>56</v>
      </c>
      <c r="R84" s="2" t="s">
        <v>571</v>
      </c>
      <c r="T84" s="2">
        <f t="shared" si="11"/>
        <v>56</v>
      </c>
      <c r="U84" s="2" t="s">
        <v>572</v>
      </c>
    </row>
    <row r="85" spans="17:21">
      <c r="Q85" s="2">
        <f t="shared" si="10"/>
        <v>57</v>
      </c>
      <c r="R85" s="2" t="s">
        <v>573</v>
      </c>
      <c r="T85" s="2">
        <f t="shared" si="11"/>
        <v>57</v>
      </c>
      <c r="U85" s="2" t="s">
        <v>574</v>
      </c>
    </row>
    <row r="86" spans="17:21">
      <c r="Q86" s="2">
        <f t="shared" si="10"/>
        <v>58</v>
      </c>
      <c r="R86" s="2" t="s">
        <v>575</v>
      </c>
      <c r="T86" s="2">
        <f t="shared" si="11"/>
        <v>58</v>
      </c>
      <c r="U86" s="2" t="s">
        <v>576</v>
      </c>
    </row>
    <row r="87" spans="17:21">
      <c r="Q87" s="2">
        <f t="shared" si="10"/>
        <v>59</v>
      </c>
      <c r="R87" s="2" t="s">
        <v>577</v>
      </c>
      <c r="T87" s="2">
        <f t="shared" si="11"/>
        <v>59</v>
      </c>
      <c r="U87" s="2" t="s">
        <v>578</v>
      </c>
    </row>
    <row r="88" spans="17:21">
      <c r="Q88" s="2">
        <f t="shared" si="10"/>
        <v>60</v>
      </c>
      <c r="R88" s="2" t="s">
        <v>579</v>
      </c>
      <c r="T88" s="2">
        <f t="shared" si="11"/>
        <v>60</v>
      </c>
      <c r="U88" s="2" t="s">
        <v>580</v>
      </c>
    </row>
    <row r="89" spans="17:21">
      <c r="Q89" s="2">
        <f t="shared" si="10"/>
        <v>61</v>
      </c>
      <c r="R89" s="2" t="s">
        <v>581</v>
      </c>
      <c r="T89" s="2">
        <f t="shared" si="11"/>
        <v>61</v>
      </c>
      <c r="U89" s="2" t="s">
        <v>582</v>
      </c>
    </row>
    <row r="90" spans="17:21">
      <c r="Q90" s="2">
        <f t="shared" si="10"/>
        <v>62</v>
      </c>
      <c r="R90" s="2" t="s">
        <v>583</v>
      </c>
      <c r="T90" s="2">
        <f t="shared" si="11"/>
        <v>62</v>
      </c>
      <c r="U90" s="2" t="s">
        <v>584</v>
      </c>
    </row>
    <row r="91" spans="17:21">
      <c r="Q91" s="2">
        <f t="shared" si="10"/>
        <v>63</v>
      </c>
      <c r="R91" s="2" t="s">
        <v>585</v>
      </c>
      <c r="T91" s="2">
        <f t="shared" si="11"/>
        <v>63</v>
      </c>
      <c r="U91" s="2" t="s">
        <v>586</v>
      </c>
    </row>
    <row r="92" spans="17:21">
      <c r="Q92" s="2">
        <f t="shared" si="10"/>
        <v>64</v>
      </c>
      <c r="R92" s="2" t="s">
        <v>587</v>
      </c>
      <c r="T92" s="2">
        <f t="shared" si="11"/>
        <v>64</v>
      </c>
      <c r="U92" s="2" t="s">
        <v>588</v>
      </c>
    </row>
    <row r="93" spans="17:21">
      <c r="Q93" s="2">
        <v>129</v>
      </c>
      <c r="R93" s="2" t="s">
        <v>589</v>
      </c>
      <c r="T93" s="2">
        <f t="shared" si="11"/>
        <v>65</v>
      </c>
      <c r="U93" s="2" t="s">
        <v>590</v>
      </c>
    </row>
    <row r="94" spans="17:21">
      <c r="Q94" s="2">
        <f t="shared" ref="Q94:Q100" si="12">Q93+1</f>
        <v>130</v>
      </c>
      <c r="R94" s="2" t="s">
        <v>591</v>
      </c>
      <c r="T94" s="2">
        <f t="shared" ref="T94:T111" si="13">T93+1</f>
        <v>66</v>
      </c>
      <c r="U94" s="2" t="s">
        <v>592</v>
      </c>
    </row>
    <row r="95" spans="17:21">
      <c r="Q95" s="2">
        <f t="shared" si="12"/>
        <v>131</v>
      </c>
      <c r="R95" s="2" t="s">
        <v>593</v>
      </c>
      <c r="T95" s="2">
        <f t="shared" si="13"/>
        <v>67</v>
      </c>
      <c r="U95" s="2" t="s">
        <v>594</v>
      </c>
    </row>
    <row r="96" spans="17:21">
      <c r="Q96" s="2">
        <f t="shared" si="12"/>
        <v>132</v>
      </c>
      <c r="R96" s="2" t="s">
        <v>595</v>
      </c>
      <c r="T96" s="2">
        <f t="shared" si="13"/>
        <v>68</v>
      </c>
      <c r="U96" s="2" t="s">
        <v>596</v>
      </c>
    </row>
    <row r="97" spans="17:21">
      <c r="Q97" s="2">
        <f t="shared" si="12"/>
        <v>133</v>
      </c>
      <c r="R97" s="2" t="s">
        <v>597</v>
      </c>
      <c r="T97" s="2">
        <f t="shared" si="13"/>
        <v>69</v>
      </c>
      <c r="U97" s="2" t="s">
        <v>598</v>
      </c>
    </row>
    <row r="98" spans="17:21">
      <c r="Q98" s="2">
        <f t="shared" si="12"/>
        <v>134</v>
      </c>
      <c r="R98" s="2" t="s">
        <v>599</v>
      </c>
      <c r="T98" s="2">
        <f t="shared" si="13"/>
        <v>70</v>
      </c>
      <c r="U98" s="2" t="s">
        <v>600</v>
      </c>
    </row>
    <row r="99" spans="17:21">
      <c r="Q99" s="2">
        <f t="shared" si="12"/>
        <v>135</v>
      </c>
      <c r="R99" s="2" t="s">
        <v>601</v>
      </c>
      <c r="T99" s="2">
        <f t="shared" si="13"/>
        <v>71</v>
      </c>
      <c r="U99" s="2" t="s">
        <v>602</v>
      </c>
    </row>
    <row r="100" spans="17:21">
      <c r="Q100" s="2">
        <f t="shared" si="12"/>
        <v>136</v>
      </c>
      <c r="R100" s="2" t="s">
        <v>603</v>
      </c>
      <c r="T100" s="2">
        <f t="shared" si="13"/>
        <v>72</v>
      </c>
      <c r="U100" s="2" t="s">
        <v>604</v>
      </c>
    </row>
    <row r="101" spans="17:21">
      <c r="Q101" s="2">
        <v>178</v>
      </c>
      <c r="R101" s="2" t="s">
        <v>605</v>
      </c>
      <c r="T101" s="2">
        <v>111</v>
      </c>
      <c r="U101" s="2" t="s">
        <v>606</v>
      </c>
    </row>
    <row r="102" spans="17:21">
      <c r="Q102" s="2">
        <v>181</v>
      </c>
      <c r="R102" s="2" t="s">
        <v>607</v>
      </c>
      <c r="T102" s="2">
        <f t="shared" si="13"/>
        <v>112</v>
      </c>
      <c r="U102" s="2" t="s">
        <v>608</v>
      </c>
    </row>
    <row r="103" spans="17:21">
      <c r="Q103" s="2">
        <v>189</v>
      </c>
      <c r="R103" s="2" t="s">
        <v>442</v>
      </c>
      <c r="T103" s="2">
        <f t="shared" si="13"/>
        <v>113</v>
      </c>
      <c r="U103" s="2" t="s">
        <v>609</v>
      </c>
    </row>
    <row r="104" spans="17:21">
      <c r="Q104" s="2">
        <v>190</v>
      </c>
      <c r="R104" s="2" t="s">
        <v>60</v>
      </c>
      <c r="T104" s="2">
        <f t="shared" si="13"/>
        <v>114</v>
      </c>
      <c r="U104" s="2" t="s">
        <v>610</v>
      </c>
    </row>
    <row r="105" spans="17:21">
      <c r="Q105" s="2">
        <f t="shared" ref="Q105:Q122" si="14">Q104+1</f>
        <v>191</v>
      </c>
      <c r="R105" s="2" t="s">
        <v>611</v>
      </c>
      <c r="T105" s="2">
        <f t="shared" si="13"/>
        <v>115</v>
      </c>
      <c r="U105" s="2" t="s">
        <v>612</v>
      </c>
    </row>
    <row r="106" spans="17:21">
      <c r="Q106" s="2">
        <f t="shared" si="14"/>
        <v>192</v>
      </c>
      <c r="R106" s="2" t="s">
        <v>26</v>
      </c>
      <c r="T106" s="2">
        <v>122</v>
      </c>
      <c r="U106" s="2" t="s">
        <v>613</v>
      </c>
    </row>
    <row r="107" spans="17:21">
      <c r="Q107" s="2">
        <f t="shared" si="14"/>
        <v>193</v>
      </c>
      <c r="R107" s="2" t="s">
        <v>27</v>
      </c>
      <c r="T107" s="2">
        <f t="shared" si="13"/>
        <v>123</v>
      </c>
      <c r="U107" s="2" t="s">
        <v>614</v>
      </c>
    </row>
    <row r="108" spans="17:21">
      <c r="Q108" s="2">
        <f t="shared" si="14"/>
        <v>194</v>
      </c>
      <c r="R108" s="2" t="s">
        <v>28</v>
      </c>
      <c r="T108" s="2">
        <v>136</v>
      </c>
      <c r="U108" s="2" t="s">
        <v>615</v>
      </c>
    </row>
    <row r="109" spans="17:21">
      <c r="Q109" s="2">
        <f t="shared" si="14"/>
        <v>195</v>
      </c>
      <c r="R109" s="2" t="s">
        <v>29</v>
      </c>
      <c r="T109" s="2">
        <f t="shared" si="13"/>
        <v>137</v>
      </c>
    </row>
    <row r="110" spans="17:21">
      <c r="Q110" s="2">
        <f t="shared" si="14"/>
        <v>196</v>
      </c>
      <c r="R110" s="2" t="s">
        <v>30</v>
      </c>
      <c r="T110" s="2">
        <f t="shared" si="13"/>
        <v>138</v>
      </c>
    </row>
    <row r="111" spans="17:21">
      <c r="Q111" s="2">
        <f t="shared" si="14"/>
        <v>197</v>
      </c>
      <c r="R111" s="2" t="s">
        <v>31</v>
      </c>
      <c r="T111" s="2">
        <f t="shared" si="13"/>
        <v>139</v>
      </c>
    </row>
    <row r="112" spans="17:21">
      <c r="Q112" s="2">
        <f t="shared" si="14"/>
        <v>198</v>
      </c>
      <c r="R112" s="2" t="s">
        <v>616</v>
      </c>
    </row>
    <row r="113" spans="17:18">
      <c r="Q113" s="2">
        <f t="shared" si="14"/>
        <v>199</v>
      </c>
      <c r="R113" s="2" t="s">
        <v>617</v>
      </c>
    </row>
    <row r="114" spans="17:18">
      <c r="Q114" s="2">
        <f t="shared" si="14"/>
        <v>200</v>
      </c>
      <c r="R114" s="2" t="s">
        <v>618</v>
      </c>
    </row>
    <row r="115" spans="17:18">
      <c r="Q115" s="2">
        <f t="shared" si="14"/>
        <v>201</v>
      </c>
      <c r="R115" s="2" t="s">
        <v>619</v>
      </c>
    </row>
    <row r="116" spans="17:18">
      <c r="Q116" s="2">
        <f t="shared" si="14"/>
        <v>202</v>
      </c>
      <c r="R116" s="2" t="s">
        <v>620</v>
      </c>
    </row>
    <row r="117" spans="17:18">
      <c r="Q117" s="2">
        <f t="shared" si="14"/>
        <v>203</v>
      </c>
      <c r="R117" s="2" t="s">
        <v>621</v>
      </c>
    </row>
    <row r="118" spans="17:18">
      <c r="Q118" s="2">
        <f t="shared" si="14"/>
        <v>204</v>
      </c>
      <c r="R118" s="2" t="s">
        <v>622</v>
      </c>
    </row>
    <row r="119" spans="17:18">
      <c r="Q119" s="2">
        <f t="shared" si="14"/>
        <v>205</v>
      </c>
      <c r="R119" s="2" t="s">
        <v>623</v>
      </c>
    </row>
    <row r="120" spans="17:18">
      <c r="Q120" s="2">
        <f t="shared" si="14"/>
        <v>206</v>
      </c>
      <c r="R120" s="2" t="s">
        <v>624</v>
      </c>
    </row>
    <row r="121" spans="17:18">
      <c r="Q121" s="2">
        <f t="shared" si="14"/>
        <v>207</v>
      </c>
      <c r="R121" s="2" t="s">
        <v>625</v>
      </c>
    </row>
    <row r="122" spans="17:18">
      <c r="Q122" s="2">
        <f t="shared" si="14"/>
        <v>208</v>
      </c>
      <c r="R122" s="2" t="s">
        <v>626</v>
      </c>
    </row>
    <row r="123" spans="17:18">
      <c r="Q123" s="2">
        <v>230</v>
      </c>
      <c r="R123" s="450" t="s">
        <v>1000</v>
      </c>
    </row>
  </sheetData>
  <mergeCells count="16">
    <mergeCell ref="K27:N27"/>
    <mergeCell ref="H54:I54"/>
    <mergeCell ref="N54:N55"/>
    <mergeCell ref="H55:I55"/>
    <mergeCell ref="B52:B53"/>
    <mergeCell ref="A54:B55"/>
    <mergeCell ref="C54:G55"/>
    <mergeCell ref="T26:U26"/>
    <mergeCell ref="K20:N20"/>
    <mergeCell ref="K21:N21"/>
    <mergeCell ref="K26:N26"/>
    <mergeCell ref="F1:N1"/>
    <mergeCell ref="G3:I3"/>
    <mergeCell ref="L12:N12"/>
    <mergeCell ref="G16:I16"/>
    <mergeCell ref="Q26:R26"/>
  </mergeCells>
  <printOptions horizontalCentered="1" verticalCentered="1"/>
  <pageMargins left="0.12" right="0.12" top="0.12" bottom="0.12" header="0" footer="0"/>
  <pageSetup orientation="portrait" horizontalDpi="525" verticalDpi="52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V48"/>
  <sheetViews>
    <sheetView workbookViewId="0">
      <selection activeCell="I3" sqref="I3"/>
    </sheetView>
  </sheetViews>
  <sheetFormatPr defaultColWidth="10.44140625" defaultRowHeight="13.2"/>
  <cols>
    <col min="1" max="1" width="5" style="355" customWidth="1"/>
    <col min="2" max="15" width="10.5546875" style="355" customWidth="1"/>
    <col min="16" max="16384" width="10.44140625" style="355"/>
  </cols>
  <sheetData>
    <row r="1" spans="1:22">
      <c r="A1" s="352"/>
      <c r="B1" s="353"/>
      <c r="C1" s="354"/>
      <c r="D1" s="354"/>
      <c r="E1" s="354"/>
      <c r="F1" s="354"/>
      <c r="G1" s="354"/>
      <c r="H1" s="354"/>
      <c r="I1" s="354"/>
      <c r="J1" s="354"/>
      <c r="K1" s="2649" t="s">
        <v>4000</v>
      </c>
      <c r="L1" s="2650"/>
      <c r="M1" s="2650"/>
      <c r="N1" s="2650"/>
      <c r="O1" s="2651"/>
    </row>
    <row r="2" spans="1:22" ht="13.8" thickBot="1">
      <c r="A2" s="2658" t="s">
        <v>816</v>
      </c>
      <c r="B2" s="2659"/>
      <c r="C2" s="2663">
        <f>Data!B118</f>
        <v>0</v>
      </c>
      <c r="D2" s="2663"/>
      <c r="E2" s="2663"/>
      <c r="F2" s="2663"/>
      <c r="G2" s="2663"/>
      <c r="H2" s="2663"/>
      <c r="I2" s="356"/>
      <c r="J2" s="356"/>
      <c r="K2" s="2652"/>
      <c r="L2" s="2653"/>
      <c r="M2" s="2653"/>
      <c r="N2" s="2653"/>
      <c r="O2" s="2654"/>
    </row>
    <row r="3" spans="1:22">
      <c r="A3" s="358"/>
      <c r="B3" s="359"/>
      <c r="C3" s="357"/>
      <c r="D3" s="356"/>
      <c r="E3" s="357"/>
      <c r="F3" s="356"/>
      <c r="G3" s="357"/>
      <c r="H3" s="356"/>
      <c r="I3" s="356"/>
      <c r="J3" s="356"/>
      <c r="K3" s="2652"/>
      <c r="L3" s="2653"/>
      <c r="M3" s="2653"/>
      <c r="N3" s="2653"/>
      <c r="O3" s="2654"/>
    </row>
    <row r="4" spans="1:22" ht="13.8" thickBot="1">
      <c r="A4" s="2658" t="s">
        <v>817</v>
      </c>
      <c r="B4" s="2659"/>
      <c r="C4" s="2663" t="str">
        <f>Data!B124</f>
        <v>Alpha @ Beta</v>
      </c>
      <c r="D4" s="2663"/>
      <c r="E4" s="2663"/>
      <c r="F4" s="2663"/>
      <c r="G4" s="2663"/>
      <c r="H4" s="2663"/>
      <c r="I4" s="356"/>
      <c r="J4" s="356"/>
      <c r="K4" s="2652"/>
      <c r="L4" s="2653"/>
      <c r="M4" s="2653"/>
      <c r="N4" s="2653"/>
      <c r="O4" s="2654"/>
      <c r="V4" s="355" t="s">
        <v>34</v>
      </c>
    </row>
    <row r="5" spans="1:22">
      <c r="A5" s="360"/>
      <c r="B5" s="356"/>
      <c r="C5" s="356"/>
      <c r="D5" s="356"/>
      <c r="E5" s="356"/>
      <c r="F5" s="356"/>
      <c r="G5" s="357"/>
      <c r="H5" s="356"/>
      <c r="I5" s="356"/>
      <c r="J5" s="356"/>
      <c r="K5" s="2652"/>
      <c r="L5" s="2653"/>
      <c r="M5" s="2653"/>
      <c r="N5" s="2653"/>
      <c r="O5" s="2654"/>
      <c r="P5" s="356"/>
      <c r="V5" s="355" t="s">
        <v>34</v>
      </c>
    </row>
    <row r="6" spans="1:22" ht="13.8" thickBot="1">
      <c r="A6" s="361"/>
      <c r="B6" s="357"/>
      <c r="C6" s="357"/>
      <c r="D6" s="357"/>
      <c r="E6" s="357"/>
      <c r="F6" s="356"/>
      <c r="G6" s="356"/>
      <c r="H6" s="356"/>
      <c r="I6" s="356"/>
      <c r="J6" s="356"/>
      <c r="K6" s="2655"/>
      <c r="L6" s="2656"/>
      <c r="M6" s="2656"/>
      <c r="N6" s="2656"/>
      <c r="O6" s="2657"/>
      <c r="P6" s="356"/>
    </row>
    <row r="7" spans="1:22" ht="16.2" thickBot="1">
      <c r="A7" s="2660" t="s">
        <v>818</v>
      </c>
      <c r="B7" s="2661"/>
      <c r="C7" s="2661"/>
      <c r="D7" s="2661"/>
      <c r="E7" s="2661"/>
      <c r="F7" s="2661"/>
      <c r="G7" s="2661"/>
      <c r="H7" s="2661"/>
      <c r="I7" s="2661"/>
      <c r="J7" s="2661"/>
      <c r="K7" s="2661"/>
      <c r="L7" s="2661"/>
      <c r="M7" s="2660" t="s">
        <v>819</v>
      </c>
      <c r="N7" s="2661"/>
      <c r="O7" s="2662"/>
    </row>
    <row r="8" spans="1:22" ht="14.4" thickBot="1">
      <c r="A8" s="362" t="s">
        <v>820</v>
      </c>
      <c r="B8" s="362" t="s">
        <v>821</v>
      </c>
      <c r="C8" s="362" t="s">
        <v>822</v>
      </c>
      <c r="D8" s="363" t="s">
        <v>823</v>
      </c>
      <c r="E8" s="362" t="s">
        <v>824</v>
      </c>
      <c r="F8" s="363" t="s">
        <v>825</v>
      </c>
      <c r="G8" s="364" t="s">
        <v>826</v>
      </c>
      <c r="H8" s="365" t="s">
        <v>827</v>
      </c>
      <c r="I8" s="362" t="s">
        <v>828</v>
      </c>
      <c r="J8" s="365" t="s">
        <v>829</v>
      </c>
      <c r="K8" s="364" t="s">
        <v>830</v>
      </c>
      <c r="L8" s="364" t="s">
        <v>831</v>
      </c>
      <c r="M8" s="364" t="s">
        <v>832</v>
      </c>
      <c r="N8" s="362" t="s">
        <v>833</v>
      </c>
      <c r="O8" s="366" t="s">
        <v>834</v>
      </c>
    </row>
    <row r="9" spans="1:22">
      <c r="A9" s="2643" t="s">
        <v>835</v>
      </c>
      <c r="B9" s="367" t="s">
        <v>836</v>
      </c>
      <c r="C9" s="367" t="s">
        <v>837</v>
      </c>
      <c r="D9" s="367" t="s">
        <v>837</v>
      </c>
      <c r="E9" s="367" t="s">
        <v>837</v>
      </c>
      <c r="F9" s="367" t="s">
        <v>838</v>
      </c>
      <c r="G9" s="367" t="s">
        <v>839</v>
      </c>
      <c r="H9" s="367" t="s">
        <v>839</v>
      </c>
      <c r="I9" s="368" t="s">
        <v>839</v>
      </c>
      <c r="J9" s="369" t="s">
        <v>836</v>
      </c>
      <c r="K9" s="370" t="s">
        <v>840</v>
      </c>
      <c r="L9" s="371" t="s">
        <v>837</v>
      </c>
      <c r="M9" s="372" t="s">
        <v>837</v>
      </c>
      <c r="N9" s="373" t="s">
        <v>841</v>
      </c>
      <c r="O9" s="374" t="s">
        <v>842</v>
      </c>
    </row>
    <row r="10" spans="1:22">
      <c r="A10" s="2644"/>
      <c r="B10" s="375" t="s">
        <v>843</v>
      </c>
      <c r="C10" s="375" t="s">
        <v>297</v>
      </c>
      <c r="D10" s="375" t="s">
        <v>844</v>
      </c>
      <c r="E10" s="375" t="s">
        <v>844</v>
      </c>
      <c r="F10" s="375" t="s">
        <v>843</v>
      </c>
      <c r="G10" s="375" t="s">
        <v>297</v>
      </c>
      <c r="H10" s="375" t="s">
        <v>844</v>
      </c>
      <c r="I10" s="376" t="s">
        <v>844</v>
      </c>
      <c r="J10" s="375" t="s">
        <v>843</v>
      </c>
      <c r="K10" s="377" t="s">
        <v>297</v>
      </c>
      <c r="L10" s="375" t="s">
        <v>843</v>
      </c>
      <c r="M10" s="372" t="s">
        <v>845</v>
      </c>
      <c r="N10" s="373" t="s">
        <v>845</v>
      </c>
      <c r="O10" s="374" t="s">
        <v>846</v>
      </c>
    </row>
    <row r="11" spans="1:22">
      <c r="A11" s="2644"/>
      <c r="B11" s="378" t="s">
        <v>847</v>
      </c>
      <c r="C11" s="378" t="s">
        <v>848</v>
      </c>
      <c r="D11" s="378" t="s">
        <v>849</v>
      </c>
      <c r="E11" s="378" t="s">
        <v>850</v>
      </c>
      <c r="F11" s="378" t="s">
        <v>851</v>
      </c>
      <c r="G11" s="378" t="s">
        <v>852</v>
      </c>
      <c r="H11" s="378" t="s">
        <v>853</v>
      </c>
      <c r="I11" s="379" t="s">
        <v>854</v>
      </c>
      <c r="J11" s="380" t="s">
        <v>855</v>
      </c>
      <c r="K11" s="381" t="s">
        <v>856</v>
      </c>
      <c r="L11" s="382" t="s">
        <v>857</v>
      </c>
      <c r="M11" s="383" t="s">
        <v>858</v>
      </c>
      <c r="N11" s="384" t="s">
        <v>859</v>
      </c>
      <c r="O11" s="385" t="s">
        <v>860</v>
      </c>
    </row>
    <row r="12" spans="1:22">
      <c r="A12" s="2644"/>
      <c r="B12" s="386" t="s">
        <v>861</v>
      </c>
      <c r="C12" s="386" t="s">
        <v>862</v>
      </c>
      <c r="D12" s="386" t="s">
        <v>863</v>
      </c>
      <c r="E12" s="386" t="s">
        <v>864</v>
      </c>
      <c r="F12" s="386" t="s">
        <v>865</v>
      </c>
      <c r="G12" s="386" t="s">
        <v>866</v>
      </c>
      <c r="H12" s="386" t="s">
        <v>867</v>
      </c>
      <c r="I12" s="387" t="s">
        <v>868</v>
      </c>
      <c r="J12" s="388" t="s">
        <v>869</v>
      </c>
      <c r="K12" s="389" t="s">
        <v>870</v>
      </c>
      <c r="L12" s="390" t="s">
        <v>871</v>
      </c>
      <c r="M12" s="391" t="s">
        <v>872</v>
      </c>
      <c r="N12" s="392" t="s">
        <v>873</v>
      </c>
      <c r="O12" s="393" t="s">
        <v>874</v>
      </c>
    </row>
    <row r="13" spans="1:22" ht="15.6">
      <c r="A13" s="2644"/>
      <c r="B13" s="394" t="s">
        <v>63</v>
      </c>
      <c r="C13" s="394" t="s">
        <v>64</v>
      </c>
      <c r="D13" s="394" t="s">
        <v>66</v>
      </c>
      <c r="E13" s="394" t="s">
        <v>68</v>
      </c>
      <c r="F13" s="394" t="s">
        <v>69</v>
      </c>
      <c r="G13" s="394" t="s">
        <v>70</v>
      </c>
      <c r="H13" s="394" t="s">
        <v>72</v>
      </c>
      <c r="I13" s="395" t="s">
        <v>74</v>
      </c>
      <c r="J13" s="396" t="s">
        <v>75</v>
      </c>
      <c r="K13" s="397" t="s">
        <v>103</v>
      </c>
      <c r="L13" s="398" t="s">
        <v>91</v>
      </c>
      <c r="M13" s="376"/>
      <c r="N13" s="399"/>
      <c r="O13" s="400"/>
    </row>
    <row r="14" spans="1:22" ht="13.8" thickBot="1">
      <c r="A14" s="2645"/>
      <c r="B14" s="457" t="s">
        <v>1006</v>
      </c>
      <c r="C14" s="458" t="s">
        <v>1027</v>
      </c>
      <c r="D14" s="458" t="s">
        <v>1028</v>
      </c>
      <c r="E14" s="458" t="s">
        <v>1009</v>
      </c>
      <c r="F14" s="458" t="s">
        <v>1004</v>
      </c>
      <c r="G14" s="458" t="s">
        <v>1029</v>
      </c>
      <c r="H14" s="458" t="s">
        <v>1030</v>
      </c>
      <c r="I14" s="459" t="s">
        <v>1005</v>
      </c>
      <c r="J14" s="460" t="s">
        <v>1031</v>
      </c>
      <c r="K14" s="401"/>
      <c r="L14" s="463" t="s">
        <v>1053</v>
      </c>
      <c r="M14" s="402"/>
      <c r="N14" s="403"/>
      <c r="O14" s="404"/>
    </row>
    <row r="15" spans="1:22">
      <c r="A15" s="2643" t="s">
        <v>875</v>
      </c>
      <c r="B15" s="405" t="s">
        <v>836</v>
      </c>
      <c r="C15" s="405" t="s">
        <v>837</v>
      </c>
      <c r="D15" s="405" t="s">
        <v>837</v>
      </c>
      <c r="E15" s="405" t="s">
        <v>837</v>
      </c>
      <c r="F15" s="405" t="s">
        <v>838</v>
      </c>
      <c r="G15" s="405" t="s">
        <v>839</v>
      </c>
      <c r="H15" s="405" t="s">
        <v>839</v>
      </c>
      <c r="I15" s="372" t="s">
        <v>839</v>
      </c>
      <c r="J15" s="406" t="s">
        <v>838</v>
      </c>
      <c r="K15" s="407" t="s">
        <v>840</v>
      </c>
      <c r="L15" s="371" t="s">
        <v>839</v>
      </c>
      <c r="M15" s="372" t="s">
        <v>876</v>
      </c>
      <c r="N15" s="373" t="s">
        <v>877</v>
      </c>
      <c r="O15" s="374" t="s">
        <v>878</v>
      </c>
    </row>
    <row r="16" spans="1:22">
      <c r="A16" s="2644"/>
      <c r="B16" s="375" t="s">
        <v>843</v>
      </c>
      <c r="C16" s="375" t="s">
        <v>844</v>
      </c>
      <c r="D16" s="375" t="s">
        <v>843</v>
      </c>
      <c r="E16" s="375" t="s">
        <v>844</v>
      </c>
      <c r="F16" s="375" t="s">
        <v>843</v>
      </c>
      <c r="G16" s="375" t="s">
        <v>844</v>
      </c>
      <c r="H16" s="375" t="s">
        <v>843</v>
      </c>
      <c r="I16" s="376" t="s">
        <v>844</v>
      </c>
      <c r="J16" s="375" t="s">
        <v>843</v>
      </c>
      <c r="K16" s="377" t="s">
        <v>297</v>
      </c>
      <c r="L16" s="375" t="s">
        <v>843</v>
      </c>
      <c r="M16" s="372" t="s">
        <v>845</v>
      </c>
      <c r="N16" s="373" t="s">
        <v>845</v>
      </c>
      <c r="O16" s="374" t="s">
        <v>879</v>
      </c>
    </row>
    <row r="17" spans="1:15">
      <c r="A17" s="2644"/>
      <c r="B17" s="378" t="s">
        <v>880</v>
      </c>
      <c r="C17" s="378" t="s">
        <v>881</v>
      </c>
      <c r="D17" s="378" t="s">
        <v>882</v>
      </c>
      <c r="E17" s="378" t="s">
        <v>883</v>
      </c>
      <c r="F17" s="378" t="s">
        <v>884</v>
      </c>
      <c r="G17" s="378" t="s">
        <v>885</v>
      </c>
      <c r="H17" s="378" t="s">
        <v>886</v>
      </c>
      <c r="I17" s="379" t="s">
        <v>887</v>
      </c>
      <c r="J17" s="380" t="s">
        <v>888</v>
      </c>
      <c r="K17" s="381" t="s">
        <v>889</v>
      </c>
      <c r="L17" s="382" t="s">
        <v>890</v>
      </c>
      <c r="M17" s="383" t="s">
        <v>891</v>
      </c>
      <c r="N17" s="384" t="s">
        <v>892</v>
      </c>
      <c r="O17" s="385" t="s">
        <v>893</v>
      </c>
    </row>
    <row r="18" spans="1:15">
      <c r="A18" s="2644"/>
      <c r="B18" s="408" t="s">
        <v>894</v>
      </c>
      <c r="C18" s="386" t="s">
        <v>895</v>
      </c>
      <c r="D18" s="386" t="s">
        <v>896</v>
      </c>
      <c r="E18" s="408" t="s">
        <v>897</v>
      </c>
      <c r="F18" s="408" t="s">
        <v>898</v>
      </c>
      <c r="G18" s="386" t="s">
        <v>899</v>
      </c>
      <c r="H18" s="386" t="s">
        <v>900</v>
      </c>
      <c r="I18" s="409" t="s">
        <v>901</v>
      </c>
      <c r="J18" s="388" t="s">
        <v>902</v>
      </c>
      <c r="K18" s="389" t="s">
        <v>903</v>
      </c>
      <c r="L18" s="390" t="s">
        <v>904</v>
      </c>
      <c r="M18" s="391" t="s">
        <v>905</v>
      </c>
      <c r="N18" s="392" t="s">
        <v>906</v>
      </c>
      <c r="O18" s="393" t="s">
        <v>907</v>
      </c>
    </row>
    <row r="19" spans="1:15" ht="15.6">
      <c r="A19" s="2644"/>
      <c r="B19" s="410" t="s">
        <v>95</v>
      </c>
      <c r="C19" s="394" t="s">
        <v>65</v>
      </c>
      <c r="D19" s="394" t="s">
        <v>67</v>
      </c>
      <c r="E19" s="410" t="s">
        <v>96</v>
      </c>
      <c r="F19" s="410" t="s">
        <v>97</v>
      </c>
      <c r="G19" s="394" t="s">
        <v>71</v>
      </c>
      <c r="H19" s="394" t="s">
        <v>73</v>
      </c>
      <c r="I19" s="411" t="s">
        <v>98</v>
      </c>
      <c r="J19" s="396" t="s">
        <v>76</v>
      </c>
      <c r="K19" s="397" t="s">
        <v>104</v>
      </c>
      <c r="L19" s="398" t="s">
        <v>92</v>
      </c>
      <c r="M19" s="376"/>
      <c r="N19" s="399"/>
      <c r="O19" s="400"/>
    </row>
    <row r="20" spans="1:15" ht="13.8" thickBot="1">
      <c r="A20" s="2645"/>
      <c r="B20" s="461" t="s">
        <v>1032</v>
      </c>
      <c r="C20" s="461" t="s">
        <v>1033</v>
      </c>
      <c r="D20" s="461" t="s">
        <v>1034</v>
      </c>
      <c r="E20" s="461" t="s">
        <v>1035</v>
      </c>
      <c r="F20" s="461" t="s">
        <v>1036</v>
      </c>
      <c r="G20" s="461" t="s">
        <v>1037</v>
      </c>
      <c r="H20" s="461" t="s">
        <v>1038</v>
      </c>
      <c r="I20" s="462" t="s">
        <v>1010</v>
      </c>
      <c r="J20" s="463" t="s">
        <v>1039</v>
      </c>
      <c r="K20" s="412"/>
      <c r="L20" s="463" t="s">
        <v>1053</v>
      </c>
      <c r="M20" s="413"/>
      <c r="N20" s="414"/>
      <c r="O20" s="415"/>
    </row>
    <row r="21" spans="1:15" ht="14.4" thickBot="1">
      <c r="A21" s="416" t="s">
        <v>908</v>
      </c>
      <c r="B21" s="416" t="s">
        <v>909</v>
      </c>
      <c r="C21" s="417" t="s">
        <v>910</v>
      </c>
      <c r="D21" s="416" t="s">
        <v>911</v>
      </c>
      <c r="E21" s="417" t="s">
        <v>912</v>
      </c>
      <c r="F21" s="416" t="s">
        <v>913</v>
      </c>
      <c r="G21" s="417" t="s">
        <v>914</v>
      </c>
      <c r="H21" s="416" t="s">
        <v>915</v>
      </c>
      <c r="I21" s="417" t="s">
        <v>916</v>
      </c>
      <c r="J21" s="416" t="s">
        <v>917</v>
      </c>
      <c r="K21" s="416" t="s">
        <v>918</v>
      </c>
      <c r="L21" s="418" t="s">
        <v>919</v>
      </c>
      <c r="M21" s="416" t="s">
        <v>920</v>
      </c>
      <c r="N21" s="417" t="s">
        <v>921</v>
      </c>
      <c r="O21" s="416" t="s">
        <v>922</v>
      </c>
    </row>
    <row r="22" spans="1:15">
      <c r="A22" s="2646" t="s">
        <v>835</v>
      </c>
      <c r="B22" s="367" t="s">
        <v>923</v>
      </c>
      <c r="C22" s="367" t="s">
        <v>841</v>
      </c>
      <c r="D22" s="367" t="s">
        <v>841</v>
      </c>
      <c r="E22" s="367" t="s">
        <v>841</v>
      </c>
      <c r="F22" s="367" t="s">
        <v>924</v>
      </c>
      <c r="G22" s="367" t="s">
        <v>925</v>
      </c>
      <c r="H22" s="367" t="s">
        <v>925</v>
      </c>
      <c r="I22" s="368" t="s">
        <v>925</v>
      </c>
      <c r="J22" s="406" t="s">
        <v>923</v>
      </c>
      <c r="K22" s="377" t="s">
        <v>926</v>
      </c>
      <c r="L22" s="371" t="s">
        <v>841</v>
      </c>
      <c r="M22" s="419" t="s">
        <v>927</v>
      </c>
      <c r="N22" s="420" t="s">
        <v>928</v>
      </c>
      <c r="O22" s="374" t="s">
        <v>929</v>
      </c>
    </row>
    <row r="23" spans="1:15">
      <c r="A23" s="2647"/>
      <c r="B23" s="375" t="s">
        <v>843</v>
      </c>
      <c r="C23" s="375" t="s">
        <v>297</v>
      </c>
      <c r="D23" s="375" t="s">
        <v>844</v>
      </c>
      <c r="E23" s="375" t="s">
        <v>844</v>
      </c>
      <c r="F23" s="375" t="s">
        <v>843</v>
      </c>
      <c r="G23" s="375" t="s">
        <v>297</v>
      </c>
      <c r="H23" s="375" t="s">
        <v>844</v>
      </c>
      <c r="I23" s="376" t="s">
        <v>844</v>
      </c>
      <c r="J23" s="375" t="s">
        <v>843</v>
      </c>
      <c r="K23" s="377" t="s">
        <v>297</v>
      </c>
      <c r="L23" s="375" t="s">
        <v>843</v>
      </c>
      <c r="M23" s="376" t="s">
        <v>930</v>
      </c>
      <c r="N23" s="421" t="s">
        <v>931</v>
      </c>
      <c r="O23" s="374" t="s">
        <v>842</v>
      </c>
    </row>
    <row r="24" spans="1:15">
      <c r="A24" s="2647"/>
      <c r="B24" s="378" t="s">
        <v>932</v>
      </c>
      <c r="C24" s="378" t="s">
        <v>933</v>
      </c>
      <c r="D24" s="378" t="s">
        <v>934</v>
      </c>
      <c r="E24" s="378" t="s">
        <v>935</v>
      </c>
      <c r="F24" s="378" t="s">
        <v>936</v>
      </c>
      <c r="G24" s="378" t="s">
        <v>937</v>
      </c>
      <c r="H24" s="378" t="s">
        <v>938</v>
      </c>
      <c r="I24" s="379" t="s">
        <v>939</v>
      </c>
      <c r="J24" s="380" t="s">
        <v>940</v>
      </c>
      <c r="K24" s="381" t="s">
        <v>941</v>
      </c>
      <c r="L24" s="382" t="s">
        <v>942</v>
      </c>
      <c r="M24" s="383" t="s">
        <v>943</v>
      </c>
      <c r="N24" s="384" t="s">
        <v>944</v>
      </c>
      <c r="O24" s="385" t="s">
        <v>945</v>
      </c>
    </row>
    <row r="25" spans="1:15">
      <c r="A25" s="2647"/>
      <c r="B25" s="386" t="s">
        <v>946</v>
      </c>
      <c r="C25" s="386" t="s">
        <v>947</v>
      </c>
      <c r="D25" s="386" t="s">
        <v>948</v>
      </c>
      <c r="E25" s="386" t="s">
        <v>949</v>
      </c>
      <c r="F25" s="386" t="s">
        <v>950</v>
      </c>
      <c r="G25" s="386" t="s">
        <v>951</v>
      </c>
      <c r="H25" s="386" t="s">
        <v>952</v>
      </c>
      <c r="I25" s="387" t="s">
        <v>953</v>
      </c>
      <c r="J25" s="388" t="s">
        <v>954</v>
      </c>
      <c r="K25" s="389" t="s">
        <v>955</v>
      </c>
      <c r="L25" s="390" t="s">
        <v>956</v>
      </c>
      <c r="M25" s="391" t="s">
        <v>957</v>
      </c>
      <c r="N25" s="392" t="s">
        <v>958</v>
      </c>
      <c r="O25" s="393" t="s">
        <v>959</v>
      </c>
    </row>
    <row r="26" spans="1:15" ht="15.6">
      <c r="A26" s="2647"/>
      <c r="B26" s="394" t="s">
        <v>77</v>
      </c>
      <c r="C26" s="394" t="s">
        <v>78</v>
      </c>
      <c r="D26" s="394" t="s">
        <v>80</v>
      </c>
      <c r="E26" s="394" t="s">
        <v>82</v>
      </c>
      <c r="F26" s="394" t="s">
        <v>83</v>
      </c>
      <c r="G26" s="394" t="s">
        <v>84</v>
      </c>
      <c r="H26" s="394" t="s">
        <v>86</v>
      </c>
      <c r="I26" s="395" t="s">
        <v>88</v>
      </c>
      <c r="J26" s="396" t="s">
        <v>89</v>
      </c>
      <c r="K26" s="397" t="s">
        <v>105</v>
      </c>
      <c r="L26" s="398" t="s">
        <v>93</v>
      </c>
      <c r="M26" s="376"/>
      <c r="N26" s="399"/>
      <c r="O26" s="400"/>
    </row>
    <row r="27" spans="1:15" ht="13.8" thickBot="1">
      <c r="A27" s="2648"/>
      <c r="B27" s="458" t="s">
        <v>1003</v>
      </c>
      <c r="C27" s="458" t="s">
        <v>1040</v>
      </c>
      <c r="D27" s="458" t="s">
        <v>1041</v>
      </c>
      <c r="E27" s="458" t="s">
        <v>1011</v>
      </c>
      <c r="F27" s="458" t="s">
        <v>1007</v>
      </c>
      <c r="G27" s="458" t="s">
        <v>1042</v>
      </c>
      <c r="H27" s="458" t="s">
        <v>1043</v>
      </c>
      <c r="I27" s="459" t="s">
        <v>1008</v>
      </c>
      <c r="J27" s="460" t="s">
        <v>1044</v>
      </c>
      <c r="K27" s="464"/>
      <c r="L27" s="463" t="s">
        <v>1053</v>
      </c>
      <c r="M27" s="402"/>
      <c r="N27" s="403"/>
      <c r="O27" s="404"/>
    </row>
    <row r="28" spans="1:15">
      <c r="A28" s="2646" t="s">
        <v>875</v>
      </c>
      <c r="B28" s="405" t="s">
        <v>923</v>
      </c>
      <c r="C28" s="405" t="s">
        <v>841</v>
      </c>
      <c r="D28" s="405" t="s">
        <v>841</v>
      </c>
      <c r="E28" s="405" t="s">
        <v>841</v>
      </c>
      <c r="F28" s="405" t="s">
        <v>924</v>
      </c>
      <c r="G28" s="405" t="s">
        <v>925</v>
      </c>
      <c r="H28" s="405" t="s">
        <v>925</v>
      </c>
      <c r="I28" s="372" t="s">
        <v>925</v>
      </c>
      <c r="J28" s="406" t="s">
        <v>924</v>
      </c>
      <c r="K28" s="422" t="s">
        <v>926</v>
      </c>
      <c r="L28" s="371" t="s">
        <v>925</v>
      </c>
      <c r="M28" s="419" t="s">
        <v>960</v>
      </c>
      <c r="N28" s="420" t="s">
        <v>961</v>
      </c>
      <c r="O28" s="374" t="s">
        <v>962</v>
      </c>
    </row>
    <row r="29" spans="1:15">
      <c r="A29" s="2647"/>
      <c r="B29" s="375" t="s">
        <v>843</v>
      </c>
      <c r="C29" s="375" t="s">
        <v>844</v>
      </c>
      <c r="D29" s="375" t="s">
        <v>843</v>
      </c>
      <c r="E29" s="375" t="s">
        <v>844</v>
      </c>
      <c r="F29" s="375" t="s">
        <v>843</v>
      </c>
      <c r="G29" s="375" t="s">
        <v>844</v>
      </c>
      <c r="H29" s="375" t="s">
        <v>843</v>
      </c>
      <c r="I29" s="376" t="s">
        <v>844</v>
      </c>
      <c r="J29" s="375" t="s">
        <v>843</v>
      </c>
      <c r="K29" s="377" t="s">
        <v>963</v>
      </c>
      <c r="L29" s="375" t="s">
        <v>843</v>
      </c>
      <c r="M29" s="423" t="s">
        <v>964</v>
      </c>
      <c r="N29" s="399" t="s">
        <v>965</v>
      </c>
      <c r="O29" s="374" t="s">
        <v>966</v>
      </c>
    </row>
    <row r="30" spans="1:15">
      <c r="A30" s="2647"/>
      <c r="B30" s="378" t="s">
        <v>967</v>
      </c>
      <c r="C30" s="378" t="s">
        <v>968</v>
      </c>
      <c r="D30" s="378" t="s">
        <v>969</v>
      </c>
      <c r="E30" s="378" t="s">
        <v>970</v>
      </c>
      <c r="F30" s="378" t="s">
        <v>971</v>
      </c>
      <c r="G30" s="378" t="s">
        <v>972</v>
      </c>
      <c r="H30" s="378" t="s">
        <v>973</v>
      </c>
      <c r="I30" s="379" t="s">
        <v>974</v>
      </c>
      <c r="J30" s="380" t="s">
        <v>975</v>
      </c>
      <c r="K30" s="381" t="s">
        <v>976</v>
      </c>
      <c r="L30" s="382" t="s">
        <v>977</v>
      </c>
      <c r="M30" s="383" t="s">
        <v>978</v>
      </c>
      <c r="N30" s="384" t="s">
        <v>979</v>
      </c>
      <c r="O30" s="385" t="s">
        <v>980</v>
      </c>
    </row>
    <row r="31" spans="1:15">
      <c r="A31" s="2647"/>
      <c r="B31" s="408" t="s">
        <v>981</v>
      </c>
      <c r="C31" s="386" t="s">
        <v>982</v>
      </c>
      <c r="D31" s="386" t="s">
        <v>983</v>
      </c>
      <c r="E31" s="408" t="s">
        <v>984</v>
      </c>
      <c r="F31" s="408" t="s">
        <v>985</v>
      </c>
      <c r="G31" s="386" t="s">
        <v>986</v>
      </c>
      <c r="H31" s="386" t="s">
        <v>987</v>
      </c>
      <c r="I31" s="409" t="s">
        <v>988</v>
      </c>
      <c r="J31" s="388" t="s">
        <v>989</v>
      </c>
      <c r="K31" s="389" t="s">
        <v>990</v>
      </c>
      <c r="L31" s="390" t="s">
        <v>991</v>
      </c>
      <c r="M31" s="391" t="s">
        <v>992</v>
      </c>
      <c r="N31" s="392" t="s">
        <v>993</v>
      </c>
      <c r="O31" s="393" t="s">
        <v>994</v>
      </c>
    </row>
    <row r="32" spans="1:15" ht="15.6">
      <c r="A32" s="2647"/>
      <c r="B32" s="410" t="s">
        <v>99</v>
      </c>
      <c r="C32" s="394" t="s">
        <v>79</v>
      </c>
      <c r="D32" s="394" t="s">
        <v>81</v>
      </c>
      <c r="E32" s="410" t="s">
        <v>100</v>
      </c>
      <c r="F32" s="410" t="s">
        <v>101</v>
      </c>
      <c r="G32" s="394" t="s">
        <v>85</v>
      </c>
      <c r="H32" s="394" t="s">
        <v>87</v>
      </c>
      <c r="I32" s="411" t="s">
        <v>102</v>
      </c>
      <c r="J32" s="396" t="s">
        <v>90</v>
      </c>
      <c r="K32" s="397" t="s">
        <v>106</v>
      </c>
      <c r="L32" s="398" t="s">
        <v>94</v>
      </c>
      <c r="M32" s="376"/>
      <c r="N32" s="399"/>
      <c r="O32" s="400"/>
    </row>
    <row r="33" spans="1:15" ht="13.8" thickBot="1">
      <c r="A33" s="2648"/>
      <c r="B33" s="461" t="s">
        <v>1045</v>
      </c>
      <c r="C33" s="461" t="s">
        <v>1046</v>
      </c>
      <c r="D33" s="461" t="s">
        <v>1047</v>
      </c>
      <c r="E33" s="461" t="s">
        <v>1048</v>
      </c>
      <c r="F33" s="461" t="s">
        <v>1049</v>
      </c>
      <c r="G33" s="461" t="s">
        <v>1050</v>
      </c>
      <c r="H33" s="461" t="s">
        <v>1051</v>
      </c>
      <c r="I33" s="462" t="s">
        <v>1012</v>
      </c>
      <c r="J33" s="463" t="s">
        <v>1052</v>
      </c>
      <c r="K33" s="465"/>
      <c r="L33" s="463" t="s">
        <v>1053</v>
      </c>
      <c r="M33" s="402"/>
      <c r="N33" s="403"/>
      <c r="O33" s="404"/>
    </row>
    <row r="34" spans="1:15" ht="13.8" thickBot="1">
      <c r="A34" s="424"/>
      <c r="B34" s="425" t="s">
        <v>995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7"/>
    </row>
    <row r="35" spans="1:15">
      <c r="A35" s="428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30"/>
    </row>
    <row r="36" spans="1:15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3"/>
    </row>
    <row r="37" spans="1:15">
      <c r="A37" s="431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3"/>
    </row>
    <row r="38" spans="1:15">
      <c r="A38" s="431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3"/>
    </row>
    <row r="39" spans="1:15">
      <c r="A39" s="434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3"/>
    </row>
    <row r="40" spans="1:15">
      <c r="A40" s="434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3"/>
    </row>
    <row r="41" spans="1:15">
      <c r="A41" s="435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3"/>
    </row>
    <row r="42" spans="1:15">
      <c r="A42" s="436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8"/>
    </row>
    <row r="43" spans="1:15">
      <c r="A43" s="360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439"/>
    </row>
    <row r="44" spans="1:15">
      <c r="A44" s="435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3"/>
    </row>
    <row r="45" spans="1:15" ht="13.8" thickBot="1">
      <c r="A45" s="440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1128" t="s">
        <v>3966</v>
      </c>
    </row>
    <row r="46" spans="1:15">
      <c r="A46" s="442"/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</row>
    <row r="47" spans="1:15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</row>
    <row r="48" spans="1:15">
      <c r="A48" s="442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</row>
  </sheetData>
  <mergeCells count="11">
    <mergeCell ref="A15:A20"/>
    <mergeCell ref="A22:A27"/>
    <mergeCell ref="A28:A33"/>
    <mergeCell ref="K1:O6"/>
    <mergeCell ref="A2:B2"/>
    <mergeCell ref="A4:B4"/>
    <mergeCell ref="A7:L7"/>
    <mergeCell ref="M7:O7"/>
    <mergeCell ref="A9:A14"/>
    <mergeCell ref="C4:H4"/>
    <mergeCell ref="C2:H2"/>
  </mergeCells>
  <printOptions horizontalCentered="1" verticalCentered="1"/>
  <pageMargins left="0" right="0" top="0" bottom="0" header="0" footer="0"/>
  <pageSetup scale="9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0000"/>
  </sheetPr>
  <dimension ref="A1:K34"/>
  <sheetViews>
    <sheetView workbookViewId="0">
      <selection activeCell="I9" sqref="I9"/>
    </sheetView>
  </sheetViews>
  <sheetFormatPr defaultRowHeight="13.2"/>
  <cols>
    <col min="1" max="1" width="9.33203125" customWidth="1"/>
    <col min="2" max="2" width="7.109375" customWidth="1"/>
    <col min="3" max="3" width="10.33203125" customWidth="1"/>
    <col min="4" max="4" width="92.5546875" customWidth="1"/>
    <col min="5" max="5" width="9.6640625" customWidth="1"/>
    <col min="6" max="6" width="7.44140625" customWidth="1"/>
  </cols>
  <sheetData>
    <row r="1" spans="1:11" ht="21" customHeight="1">
      <c r="A1" s="2673" t="s">
        <v>1074</v>
      </c>
      <c r="B1" s="2674"/>
      <c r="C1" s="2674"/>
      <c r="D1" s="2674"/>
      <c r="E1" s="2674"/>
      <c r="F1" s="2675"/>
      <c r="G1" s="45"/>
      <c r="H1" s="45"/>
      <c r="I1" s="45"/>
      <c r="J1" s="45"/>
      <c r="K1" s="45"/>
    </row>
    <row r="2" spans="1:11" ht="16.5" customHeight="1">
      <c r="A2" s="1130" t="s">
        <v>654</v>
      </c>
      <c r="B2" s="1131">
        <f>Data!B118</f>
        <v>0</v>
      </c>
      <c r="C2" s="1132" t="s">
        <v>655</v>
      </c>
      <c r="D2" s="976" t="str">
        <f>Data!B124</f>
        <v>Alpha @ Beta</v>
      </c>
      <c r="E2" s="45"/>
      <c r="F2" s="974"/>
    </row>
    <row r="3" spans="1:11" ht="3.75" customHeight="1">
      <c r="A3" s="1133"/>
      <c r="B3" s="2669"/>
      <c r="C3" s="2670"/>
      <c r="D3" s="2671"/>
      <c r="E3" s="477"/>
      <c r="F3" s="1134"/>
    </row>
    <row r="4" spans="1:11" ht="27" thickBot="1">
      <c r="A4" s="1135" t="s">
        <v>1075</v>
      </c>
      <c r="B4" s="2672" t="s">
        <v>1076</v>
      </c>
      <c r="C4" s="2672"/>
      <c r="D4" s="2672"/>
      <c r="E4" s="978" t="s">
        <v>1077</v>
      </c>
      <c r="F4" s="1136" t="s">
        <v>1078</v>
      </c>
    </row>
    <row r="5" spans="1:11" ht="17.25" customHeight="1" thickTop="1">
      <c r="A5" s="1137"/>
      <c r="B5" s="2676"/>
      <c r="C5" s="2676"/>
      <c r="D5" s="2676"/>
      <c r="E5" s="977"/>
      <c r="F5" s="1138"/>
    </row>
    <row r="6" spans="1:11" ht="17.25" customHeight="1">
      <c r="A6" s="1139"/>
      <c r="B6" s="2666"/>
      <c r="C6" s="2666"/>
      <c r="D6" s="2666"/>
      <c r="E6" s="478"/>
      <c r="F6" s="1140"/>
    </row>
    <row r="7" spans="1:11" ht="17.25" customHeight="1">
      <c r="A7" s="1139"/>
      <c r="B7" s="2666"/>
      <c r="C7" s="2666"/>
      <c r="D7" s="2666"/>
      <c r="E7" s="478"/>
      <c r="F7" s="1140"/>
    </row>
    <row r="8" spans="1:11" ht="17.25" customHeight="1">
      <c r="A8" s="1139"/>
      <c r="B8" s="2666"/>
      <c r="C8" s="2666"/>
      <c r="D8" s="2666"/>
      <c r="E8" s="478"/>
      <c r="F8" s="1140"/>
    </row>
    <row r="9" spans="1:11" ht="17.25" customHeight="1">
      <c r="A9" s="1139"/>
      <c r="B9" s="2666"/>
      <c r="C9" s="2666"/>
      <c r="D9" s="2666"/>
      <c r="E9" s="478"/>
      <c r="F9" s="1140"/>
    </row>
    <row r="10" spans="1:11" ht="17.25" customHeight="1">
      <c r="A10" s="1139"/>
      <c r="B10" s="2666"/>
      <c r="C10" s="2666"/>
      <c r="D10" s="2666"/>
      <c r="E10" s="478"/>
      <c r="F10" s="1140"/>
    </row>
    <row r="11" spans="1:11" ht="17.25" customHeight="1">
      <c r="A11" s="1139"/>
      <c r="B11" s="2666"/>
      <c r="C11" s="2666"/>
      <c r="D11" s="2666"/>
      <c r="E11" s="478"/>
      <c r="F11" s="1140"/>
    </row>
    <row r="12" spans="1:11" ht="17.25" customHeight="1">
      <c r="A12" s="1139"/>
      <c r="B12" s="2666"/>
      <c r="C12" s="2666"/>
      <c r="D12" s="2666"/>
      <c r="E12" s="478"/>
      <c r="F12" s="1140"/>
    </row>
    <row r="13" spans="1:11" ht="17.25" customHeight="1">
      <c r="A13" s="1139"/>
      <c r="B13" s="2666"/>
      <c r="C13" s="2666"/>
      <c r="D13" s="2666"/>
      <c r="E13" s="478"/>
      <c r="F13" s="1140"/>
    </row>
    <row r="14" spans="1:11" ht="17.25" customHeight="1">
      <c r="A14" s="1139"/>
      <c r="B14" s="2666"/>
      <c r="C14" s="2666"/>
      <c r="D14" s="2666"/>
      <c r="E14" s="478"/>
      <c r="F14" s="1140"/>
    </row>
    <row r="15" spans="1:11" ht="17.25" customHeight="1">
      <c r="A15" s="1139"/>
      <c r="B15" s="2666"/>
      <c r="C15" s="2666"/>
      <c r="D15" s="2666"/>
      <c r="E15" s="478"/>
      <c r="F15" s="1140"/>
    </row>
    <row r="16" spans="1:11" ht="17.25" customHeight="1">
      <c r="A16" s="1139"/>
      <c r="B16" s="2666"/>
      <c r="C16" s="2666"/>
      <c r="D16" s="2666"/>
      <c r="E16" s="478"/>
      <c r="F16" s="1140"/>
    </row>
    <row r="17" spans="1:6" ht="17.25" customHeight="1">
      <c r="A17" s="1139"/>
      <c r="B17" s="2666"/>
      <c r="C17" s="2666"/>
      <c r="D17" s="2666"/>
      <c r="E17" s="478"/>
      <c r="F17" s="1140"/>
    </row>
    <row r="18" spans="1:6" ht="17.25" customHeight="1">
      <c r="A18" s="1139"/>
      <c r="B18" s="2666"/>
      <c r="C18" s="2666"/>
      <c r="D18" s="2666"/>
      <c r="E18" s="478"/>
      <c r="F18" s="1140"/>
    </row>
    <row r="19" spans="1:6" ht="17.25" customHeight="1">
      <c r="A19" s="1139"/>
      <c r="B19" s="2666"/>
      <c r="C19" s="2666"/>
      <c r="D19" s="2666"/>
      <c r="E19" s="478"/>
      <c r="F19" s="1140"/>
    </row>
    <row r="20" spans="1:6" ht="17.25" customHeight="1">
      <c r="A20" s="1139"/>
      <c r="B20" s="2666"/>
      <c r="C20" s="2666"/>
      <c r="D20" s="2666"/>
      <c r="E20" s="478"/>
      <c r="F20" s="1140"/>
    </row>
    <row r="21" spans="1:6" ht="17.25" customHeight="1">
      <c r="A21" s="1139"/>
      <c r="B21" s="2666"/>
      <c r="C21" s="2666"/>
      <c r="D21" s="2666"/>
      <c r="E21" s="478"/>
      <c r="F21" s="1140"/>
    </row>
    <row r="22" spans="1:6" ht="17.25" customHeight="1">
      <c r="A22" s="1139"/>
      <c r="B22" s="2666"/>
      <c r="C22" s="2666"/>
      <c r="D22" s="2666"/>
      <c r="E22" s="478"/>
      <c r="F22" s="1140"/>
    </row>
    <row r="23" spans="1:6" ht="17.25" customHeight="1">
      <c r="A23" s="1139"/>
      <c r="B23" s="2666"/>
      <c r="C23" s="2666"/>
      <c r="D23" s="2666"/>
      <c r="E23" s="478"/>
      <c r="F23" s="1140"/>
    </row>
    <row r="24" spans="1:6" ht="17.25" customHeight="1">
      <c r="A24" s="1139"/>
      <c r="B24" s="2666"/>
      <c r="C24" s="2666"/>
      <c r="D24" s="2666"/>
      <c r="E24" s="478"/>
      <c r="F24" s="1140"/>
    </row>
    <row r="25" spans="1:6" ht="17.25" customHeight="1">
      <c r="A25" s="1139"/>
      <c r="B25" s="2666"/>
      <c r="C25" s="2666"/>
      <c r="D25" s="2666"/>
      <c r="E25" s="478"/>
      <c r="F25" s="1140"/>
    </row>
    <row r="26" spans="1:6" ht="17.25" customHeight="1">
      <c r="A26" s="1139"/>
      <c r="B26" s="2666"/>
      <c r="C26" s="2666"/>
      <c r="D26" s="2666"/>
      <c r="E26" s="478"/>
      <c r="F26" s="1140"/>
    </row>
    <row r="27" spans="1:6" ht="17.25" customHeight="1">
      <c r="A27" s="1139"/>
      <c r="B27" s="2666"/>
      <c r="C27" s="2666"/>
      <c r="D27" s="2666"/>
      <c r="E27" s="478"/>
      <c r="F27" s="1140"/>
    </row>
    <row r="28" spans="1:6" ht="17.25" customHeight="1">
      <c r="A28" s="1139"/>
      <c r="B28" s="2666"/>
      <c r="C28" s="2666"/>
      <c r="D28" s="2666"/>
      <c r="E28" s="478"/>
      <c r="F28" s="1140"/>
    </row>
    <row r="29" spans="1:6" ht="17.25" customHeight="1">
      <c r="A29" s="1139"/>
      <c r="B29" s="2666"/>
      <c r="C29" s="2666"/>
      <c r="D29" s="2666"/>
      <c r="E29" s="478"/>
      <c r="F29" s="1140"/>
    </row>
    <row r="30" spans="1:6" ht="17.25" customHeight="1">
      <c r="A30" s="1139"/>
      <c r="B30" s="2666"/>
      <c r="C30" s="2666"/>
      <c r="D30" s="2666"/>
      <c r="E30" s="478"/>
      <c r="F30" s="1140"/>
    </row>
    <row r="31" spans="1:6" ht="17.25" customHeight="1">
      <c r="A31" s="1139"/>
      <c r="B31" s="2666"/>
      <c r="C31" s="2666"/>
      <c r="D31" s="2666"/>
      <c r="E31" s="478"/>
      <c r="F31" s="1140"/>
    </row>
    <row r="32" spans="1:6" ht="17.25" customHeight="1">
      <c r="A32" s="1139"/>
      <c r="B32" s="2666"/>
      <c r="C32" s="2666"/>
      <c r="D32" s="2666"/>
      <c r="E32" s="478"/>
      <c r="F32" s="1140"/>
    </row>
    <row r="33" spans="1:6" ht="17.25" customHeight="1" thickBot="1">
      <c r="A33" s="1139"/>
      <c r="B33" s="2666"/>
      <c r="C33" s="2666"/>
      <c r="D33" s="2666"/>
      <c r="E33" s="1129"/>
      <c r="F33" s="1141"/>
    </row>
    <row r="34" spans="1:6" ht="17.25" customHeight="1" thickBot="1">
      <c r="A34" s="1142"/>
      <c r="B34" s="2667"/>
      <c r="C34" s="2667"/>
      <c r="D34" s="2668"/>
      <c r="E34" s="2664" t="s">
        <v>3967</v>
      </c>
      <c r="F34" s="2665"/>
    </row>
  </sheetData>
  <mergeCells count="34">
    <mergeCell ref="B4:D4"/>
    <mergeCell ref="A1:F1"/>
    <mergeCell ref="B5:D5"/>
    <mergeCell ref="B6:D6"/>
    <mergeCell ref="B7:D7"/>
    <mergeCell ref="B25:D25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34:F34"/>
    <mergeCell ref="B32:D32"/>
    <mergeCell ref="B33:D33"/>
    <mergeCell ref="B34:D34"/>
    <mergeCell ref="B3:D3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</mergeCells>
  <printOptions horizontalCentered="1"/>
  <pageMargins left="0.25" right="0.2" top="0.25" bottom="0.2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DY3651"/>
  <sheetViews>
    <sheetView topLeftCell="A178" zoomScaleNormal="100" workbookViewId="0">
      <selection activeCell="B46" sqref="B46"/>
    </sheetView>
  </sheetViews>
  <sheetFormatPr defaultRowHeight="13.2"/>
  <cols>
    <col min="1" max="1" width="24.5546875" customWidth="1"/>
    <col min="2" max="2" width="34" bestFit="1" customWidth="1"/>
    <col min="3" max="7" width="22.109375" bestFit="1" customWidth="1"/>
    <col min="8" max="10" width="15.33203125" bestFit="1" customWidth="1"/>
    <col min="11" max="17" width="16.33203125" bestFit="1" customWidth="1"/>
    <col min="18" max="65" width="12.6640625" bestFit="1" customWidth="1"/>
    <col min="66" max="100" width="8.88671875" bestFit="1" customWidth="1"/>
    <col min="101" max="101" width="9.88671875" bestFit="1" customWidth="1"/>
    <col min="102" max="129" width="9.44140625" bestFit="1" customWidth="1"/>
    <col min="257" max="257" width="24.5546875" customWidth="1"/>
    <col min="258" max="258" width="26.33203125" customWidth="1"/>
    <col min="259" max="263" width="18.44140625" customWidth="1"/>
    <col min="264" max="266" width="17.6640625" bestFit="1" customWidth="1"/>
    <col min="267" max="305" width="18.6640625" bestFit="1" customWidth="1"/>
    <col min="306" max="321" width="12.6640625" bestFit="1" customWidth="1"/>
    <col min="322" max="356" width="8.88671875" bestFit="1" customWidth="1"/>
    <col min="357" max="357" width="9.88671875" bestFit="1" customWidth="1"/>
    <col min="358" max="385" width="9.44140625" bestFit="1" customWidth="1"/>
    <col min="513" max="513" width="24.5546875" customWidth="1"/>
    <col min="514" max="514" width="26.33203125" customWidth="1"/>
    <col min="515" max="519" width="18.44140625" customWidth="1"/>
    <col min="520" max="522" width="17.6640625" bestFit="1" customWidth="1"/>
    <col min="523" max="561" width="18.6640625" bestFit="1" customWidth="1"/>
    <col min="562" max="577" width="12.6640625" bestFit="1" customWidth="1"/>
    <col min="578" max="612" width="8.88671875" bestFit="1" customWidth="1"/>
    <col min="613" max="613" width="9.88671875" bestFit="1" customWidth="1"/>
    <col min="614" max="641" width="9.44140625" bestFit="1" customWidth="1"/>
    <col min="769" max="769" width="24.5546875" customWidth="1"/>
    <col min="770" max="770" width="26.33203125" customWidth="1"/>
    <col min="771" max="775" width="18.44140625" customWidth="1"/>
    <col min="776" max="778" width="17.6640625" bestFit="1" customWidth="1"/>
    <col min="779" max="817" width="18.6640625" bestFit="1" customWidth="1"/>
    <col min="818" max="833" width="12.6640625" bestFit="1" customWidth="1"/>
    <col min="834" max="868" width="8.88671875" bestFit="1" customWidth="1"/>
    <col min="869" max="869" width="9.88671875" bestFit="1" customWidth="1"/>
    <col min="870" max="897" width="9.44140625" bestFit="1" customWidth="1"/>
    <col min="1025" max="1025" width="24.5546875" customWidth="1"/>
    <col min="1026" max="1026" width="26.33203125" customWidth="1"/>
    <col min="1027" max="1031" width="18.44140625" customWidth="1"/>
    <col min="1032" max="1034" width="17.6640625" bestFit="1" customWidth="1"/>
    <col min="1035" max="1073" width="18.6640625" bestFit="1" customWidth="1"/>
    <col min="1074" max="1089" width="12.6640625" bestFit="1" customWidth="1"/>
    <col min="1090" max="1124" width="8.88671875" bestFit="1" customWidth="1"/>
    <col min="1125" max="1125" width="9.88671875" bestFit="1" customWidth="1"/>
    <col min="1126" max="1153" width="9.44140625" bestFit="1" customWidth="1"/>
    <col min="1281" max="1281" width="24.5546875" customWidth="1"/>
    <col min="1282" max="1282" width="26.33203125" customWidth="1"/>
    <col min="1283" max="1287" width="18.44140625" customWidth="1"/>
    <col min="1288" max="1290" width="17.6640625" bestFit="1" customWidth="1"/>
    <col min="1291" max="1329" width="18.6640625" bestFit="1" customWidth="1"/>
    <col min="1330" max="1345" width="12.6640625" bestFit="1" customWidth="1"/>
    <col min="1346" max="1380" width="8.88671875" bestFit="1" customWidth="1"/>
    <col min="1381" max="1381" width="9.88671875" bestFit="1" customWidth="1"/>
    <col min="1382" max="1409" width="9.44140625" bestFit="1" customWidth="1"/>
    <col min="1537" max="1537" width="24.5546875" customWidth="1"/>
    <col min="1538" max="1538" width="26.33203125" customWidth="1"/>
    <col min="1539" max="1543" width="18.44140625" customWidth="1"/>
    <col min="1544" max="1546" width="17.6640625" bestFit="1" customWidth="1"/>
    <col min="1547" max="1585" width="18.6640625" bestFit="1" customWidth="1"/>
    <col min="1586" max="1601" width="12.6640625" bestFit="1" customWidth="1"/>
    <col min="1602" max="1636" width="8.88671875" bestFit="1" customWidth="1"/>
    <col min="1637" max="1637" width="9.88671875" bestFit="1" customWidth="1"/>
    <col min="1638" max="1665" width="9.44140625" bestFit="1" customWidth="1"/>
    <col min="1793" max="1793" width="24.5546875" customWidth="1"/>
    <col min="1794" max="1794" width="26.33203125" customWidth="1"/>
    <col min="1795" max="1799" width="18.44140625" customWidth="1"/>
    <col min="1800" max="1802" width="17.6640625" bestFit="1" customWidth="1"/>
    <col min="1803" max="1841" width="18.6640625" bestFit="1" customWidth="1"/>
    <col min="1842" max="1857" width="12.6640625" bestFit="1" customWidth="1"/>
    <col min="1858" max="1892" width="8.88671875" bestFit="1" customWidth="1"/>
    <col min="1893" max="1893" width="9.88671875" bestFit="1" customWidth="1"/>
    <col min="1894" max="1921" width="9.44140625" bestFit="1" customWidth="1"/>
    <col min="2049" max="2049" width="24.5546875" customWidth="1"/>
    <col min="2050" max="2050" width="26.33203125" customWidth="1"/>
    <col min="2051" max="2055" width="18.44140625" customWidth="1"/>
    <col min="2056" max="2058" width="17.6640625" bestFit="1" customWidth="1"/>
    <col min="2059" max="2097" width="18.6640625" bestFit="1" customWidth="1"/>
    <col min="2098" max="2113" width="12.6640625" bestFit="1" customWidth="1"/>
    <col min="2114" max="2148" width="8.88671875" bestFit="1" customWidth="1"/>
    <col min="2149" max="2149" width="9.88671875" bestFit="1" customWidth="1"/>
    <col min="2150" max="2177" width="9.44140625" bestFit="1" customWidth="1"/>
    <col min="2305" max="2305" width="24.5546875" customWidth="1"/>
    <col min="2306" max="2306" width="26.33203125" customWidth="1"/>
    <col min="2307" max="2311" width="18.44140625" customWidth="1"/>
    <col min="2312" max="2314" width="17.6640625" bestFit="1" customWidth="1"/>
    <col min="2315" max="2353" width="18.6640625" bestFit="1" customWidth="1"/>
    <col min="2354" max="2369" width="12.6640625" bestFit="1" customWidth="1"/>
    <col min="2370" max="2404" width="8.88671875" bestFit="1" customWidth="1"/>
    <col min="2405" max="2405" width="9.88671875" bestFit="1" customWidth="1"/>
    <col min="2406" max="2433" width="9.44140625" bestFit="1" customWidth="1"/>
    <col min="2561" max="2561" width="24.5546875" customWidth="1"/>
    <col min="2562" max="2562" width="26.33203125" customWidth="1"/>
    <col min="2563" max="2567" width="18.44140625" customWidth="1"/>
    <col min="2568" max="2570" width="17.6640625" bestFit="1" customWidth="1"/>
    <col min="2571" max="2609" width="18.6640625" bestFit="1" customWidth="1"/>
    <col min="2610" max="2625" width="12.6640625" bestFit="1" customWidth="1"/>
    <col min="2626" max="2660" width="8.88671875" bestFit="1" customWidth="1"/>
    <col min="2661" max="2661" width="9.88671875" bestFit="1" customWidth="1"/>
    <col min="2662" max="2689" width="9.44140625" bestFit="1" customWidth="1"/>
    <col min="2817" max="2817" width="24.5546875" customWidth="1"/>
    <col min="2818" max="2818" width="26.33203125" customWidth="1"/>
    <col min="2819" max="2823" width="18.44140625" customWidth="1"/>
    <col min="2824" max="2826" width="17.6640625" bestFit="1" customWidth="1"/>
    <col min="2827" max="2865" width="18.6640625" bestFit="1" customWidth="1"/>
    <col min="2866" max="2881" width="12.6640625" bestFit="1" customWidth="1"/>
    <col min="2882" max="2916" width="8.88671875" bestFit="1" customWidth="1"/>
    <col min="2917" max="2917" width="9.88671875" bestFit="1" customWidth="1"/>
    <col min="2918" max="2945" width="9.44140625" bestFit="1" customWidth="1"/>
    <col min="3073" max="3073" width="24.5546875" customWidth="1"/>
    <col min="3074" max="3074" width="26.33203125" customWidth="1"/>
    <col min="3075" max="3079" width="18.44140625" customWidth="1"/>
    <col min="3080" max="3082" width="17.6640625" bestFit="1" customWidth="1"/>
    <col min="3083" max="3121" width="18.6640625" bestFit="1" customWidth="1"/>
    <col min="3122" max="3137" width="12.6640625" bestFit="1" customWidth="1"/>
    <col min="3138" max="3172" width="8.88671875" bestFit="1" customWidth="1"/>
    <col min="3173" max="3173" width="9.88671875" bestFit="1" customWidth="1"/>
    <col min="3174" max="3201" width="9.44140625" bestFit="1" customWidth="1"/>
    <col min="3329" max="3329" width="24.5546875" customWidth="1"/>
    <col min="3330" max="3330" width="26.33203125" customWidth="1"/>
    <col min="3331" max="3335" width="18.44140625" customWidth="1"/>
    <col min="3336" max="3338" width="17.6640625" bestFit="1" customWidth="1"/>
    <col min="3339" max="3377" width="18.6640625" bestFit="1" customWidth="1"/>
    <col min="3378" max="3393" width="12.6640625" bestFit="1" customWidth="1"/>
    <col min="3394" max="3428" width="8.88671875" bestFit="1" customWidth="1"/>
    <col min="3429" max="3429" width="9.88671875" bestFit="1" customWidth="1"/>
    <col min="3430" max="3457" width="9.44140625" bestFit="1" customWidth="1"/>
    <col min="3585" max="3585" width="24.5546875" customWidth="1"/>
    <col min="3586" max="3586" width="26.33203125" customWidth="1"/>
    <col min="3587" max="3591" width="18.44140625" customWidth="1"/>
    <col min="3592" max="3594" width="17.6640625" bestFit="1" customWidth="1"/>
    <col min="3595" max="3633" width="18.6640625" bestFit="1" customWidth="1"/>
    <col min="3634" max="3649" width="12.6640625" bestFit="1" customWidth="1"/>
    <col min="3650" max="3684" width="8.88671875" bestFit="1" customWidth="1"/>
    <col min="3685" max="3685" width="9.88671875" bestFit="1" customWidth="1"/>
    <col min="3686" max="3713" width="9.44140625" bestFit="1" customWidth="1"/>
    <col min="3841" max="3841" width="24.5546875" customWidth="1"/>
    <col min="3842" max="3842" width="26.33203125" customWidth="1"/>
    <col min="3843" max="3847" width="18.44140625" customWidth="1"/>
    <col min="3848" max="3850" width="17.6640625" bestFit="1" customWidth="1"/>
    <col min="3851" max="3889" width="18.6640625" bestFit="1" customWidth="1"/>
    <col min="3890" max="3905" width="12.6640625" bestFit="1" customWidth="1"/>
    <col min="3906" max="3940" width="8.88671875" bestFit="1" customWidth="1"/>
    <col min="3941" max="3941" width="9.88671875" bestFit="1" customWidth="1"/>
    <col min="3942" max="3969" width="9.44140625" bestFit="1" customWidth="1"/>
    <col min="4097" max="4097" width="24.5546875" customWidth="1"/>
    <col min="4098" max="4098" width="26.33203125" customWidth="1"/>
    <col min="4099" max="4103" width="18.44140625" customWidth="1"/>
    <col min="4104" max="4106" width="17.6640625" bestFit="1" customWidth="1"/>
    <col min="4107" max="4145" width="18.6640625" bestFit="1" customWidth="1"/>
    <col min="4146" max="4161" width="12.6640625" bestFit="1" customWidth="1"/>
    <col min="4162" max="4196" width="8.88671875" bestFit="1" customWidth="1"/>
    <col min="4197" max="4197" width="9.88671875" bestFit="1" customWidth="1"/>
    <col min="4198" max="4225" width="9.44140625" bestFit="1" customWidth="1"/>
    <col min="4353" max="4353" width="24.5546875" customWidth="1"/>
    <col min="4354" max="4354" width="26.33203125" customWidth="1"/>
    <col min="4355" max="4359" width="18.44140625" customWidth="1"/>
    <col min="4360" max="4362" width="17.6640625" bestFit="1" customWidth="1"/>
    <col min="4363" max="4401" width="18.6640625" bestFit="1" customWidth="1"/>
    <col min="4402" max="4417" width="12.6640625" bestFit="1" customWidth="1"/>
    <col min="4418" max="4452" width="8.88671875" bestFit="1" customWidth="1"/>
    <col min="4453" max="4453" width="9.88671875" bestFit="1" customWidth="1"/>
    <col min="4454" max="4481" width="9.44140625" bestFit="1" customWidth="1"/>
    <col min="4609" max="4609" width="24.5546875" customWidth="1"/>
    <col min="4610" max="4610" width="26.33203125" customWidth="1"/>
    <col min="4611" max="4615" width="18.44140625" customWidth="1"/>
    <col min="4616" max="4618" width="17.6640625" bestFit="1" customWidth="1"/>
    <col min="4619" max="4657" width="18.6640625" bestFit="1" customWidth="1"/>
    <col min="4658" max="4673" width="12.6640625" bestFit="1" customWidth="1"/>
    <col min="4674" max="4708" width="8.88671875" bestFit="1" customWidth="1"/>
    <col min="4709" max="4709" width="9.88671875" bestFit="1" customWidth="1"/>
    <col min="4710" max="4737" width="9.44140625" bestFit="1" customWidth="1"/>
    <col min="4865" max="4865" width="24.5546875" customWidth="1"/>
    <col min="4866" max="4866" width="26.33203125" customWidth="1"/>
    <col min="4867" max="4871" width="18.44140625" customWidth="1"/>
    <col min="4872" max="4874" width="17.6640625" bestFit="1" customWidth="1"/>
    <col min="4875" max="4913" width="18.6640625" bestFit="1" customWidth="1"/>
    <col min="4914" max="4929" width="12.6640625" bestFit="1" customWidth="1"/>
    <col min="4930" max="4964" width="8.88671875" bestFit="1" customWidth="1"/>
    <col min="4965" max="4965" width="9.88671875" bestFit="1" customWidth="1"/>
    <col min="4966" max="4993" width="9.44140625" bestFit="1" customWidth="1"/>
    <col min="5121" max="5121" width="24.5546875" customWidth="1"/>
    <col min="5122" max="5122" width="26.33203125" customWidth="1"/>
    <col min="5123" max="5127" width="18.44140625" customWidth="1"/>
    <col min="5128" max="5130" width="17.6640625" bestFit="1" customWidth="1"/>
    <col min="5131" max="5169" width="18.6640625" bestFit="1" customWidth="1"/>
    <col min="5170" max="5185" width="12.6640625" bestFit="1" customWidth="1"/>
    <col min="5186" max="5220" width="8.88671875" bestFit="1" customWidth="1"/>
    <col min="5221" max="5221" width="9.88671875" bestFit="1" customWidth="1"/>
    <col min="5222" max="5249" width="9.44140625" bestFit="1" customWidth="1"/>
    <col min="5377" max="5377" width="24.5546875" customWidth="1"/>
    <col min="5378" max="5378" width="26.33203125" customWidth="1"/>
    <col min="5379" max="5383" width="18.44140625" customWidth="1"/>
    <col min="5384" max="5386" width="17.6640625" bestFit="1" customWidth="1"/>
    <col min="5387" max="5425" width="18.6640625" bestFit="1" customWidth="1"/>
    <col min="5426" max="5441" width="12.6640625" bestFit="1" customWidth="1"/>
    <col min="5442" max="5476" width="8.88671875" bestFit="1" customWidth="1"/>
    <col min="5477" max="5477" width="9.88671875" bestFit="1" customWidth="1"/>
    <col min="5478" max="5505" width="9.44140625" bestFit="1" customWidth="1"/>
    <col min="5633" max="5633" width="24.5546875" customWidth="1"/>
    <col min="5634" max="5634" width="26.33203125" customWidth="1"/>
    <col min="5635" max="5639" width="18.44140625" customWidth="1"/>
    <col min="5640" max="5642" width="17.6640625" bestFit="1" customWidth="1"/>
    <col min="5643" max="5681" width="18.6640625" bestFit="1" customWidth="1"/>
    <col min="5682" max="5697" width="12.6640625" bestFit="1" customWidth="1"/>
    <col min="5698" max="5732" width="8.88671875" bestFit="1" customWidth="1"/>
    <col min="5733" max="5733" width="9.88671875" bestFit="1" customWidth="1"/>
    <col min="5734" max="5761" width="9.44140625" bestFit="1" customWidth="1"/>
    <col min="5889" max="5889" width="24.5546875" customWidth="1"/>
    <col min="5890" max="5890" width="26.33203125" customWidth="1"/>
    <col min="5891" max="5895" width="18.44140625" customWidth="1"/>
    <col min="5896" max="5898" width="17.6640625" bestFit="1" customWidth="1"/>
    <col min="5899" max="5937" width="18.6640625" bestFit="1" customWidth="1"/>
    <col min="5938" max="5953" width="12.6640625" bestFit="1" customWidth="1"/>
    <col min="5954" max="5988" width="8.88671875" bestFit="1" customWidth="1"/>
    <col min="5989" max="5989" width="9.88671875" bestFit="1" customWidth="1"/>
    <col min="5990" max="6017" width="9.44140625" bestFit="1" customWidth="1"/>
    <col min="6145" max="6145" width="24.5546875" customWidth="1"/>
    <col min="6146" max="6146" width="26.33203125" customWidth="1"/>
    <col min="6147" max="6151" width="18.44140625" customWidth="1"/>
    <col min="6152" max="6154" width="17.6640625" bestFit="1" customWidth="1"/>
    <col min="6155" max="6193" width="18.6640625" bestFit="1" customWidth="1"/>
    <col min="6194" max="6209" width="12.6640625" bestFit="1" customWidth="1"/>
    <col min="6210" max="6244" width="8.88671875" bestFit="1" customWidth="1"/>
    <col min="6245" max="6245" width="9.88671875" bestFit="1" customWidth="1"/>
    <col min="6246" max="6273" width="9.44140625" bestFit="1" customWidth="1"/>
    <col min="6401" max="6401" width="24.5546875" customWidth="1"/>
    <col min="6402" max="6402" width="26.33203125" customWidth="1"/>
    <col min="6403" max="6407" width="18.44140625" customWidth="1"/>
    <col min="6408" max="6410" width="17.6640625" bestFit="1" customWidth="1"/>
    <col min="6411" max="6449" width="18.6640625" bestFit="1" customWidth="1"/>
    <col min="6450" max="6465" width="12.6640625" bestFit="1" customWidth="1"/>
    <col min="6466" max="6500" width="8.88671875" bestFit="1" customWidth="1"/>
    <col min="6501" max="6501" width="9.88671875" bestFit="1" customWidth="1"/>
    <col min="6502" max="6529" width="9.44140625" bestFit="1" customWidth="1"/>
    <col min="6657" max="6657" width="24.5546875" customWidth="1"/>
    <col min="6658" max="6658" width="26.33203125" customWidth="1"/>
    <col min="6659" max="6663" width="18.44140625" customWidth="1"/>
    <col min="6664" max="6666" width="17.6640625" bestFit="1" customWidth="1"/>
    <col min="6667" max="6705" width="18.6640625" bestFit="1" customWidth="1"/>
    <col min="6706" max="6721" width="12.6640625" bestFit="1" customWidth="1"/>
    <col min="6722" max="6756" width="8.88671875" bestFit="1" customWidth="1"/>
    <col min="6757" max="6757" width="9.88671875" bestFit="1" customWidth="1"/>
    <col min="6758" max="6785" width="9.44140625" bestFit="1" customWidth="1"/>
    <col min="6913" max="6913" width="24.5546875" customWidth="1"/>
    <col min="6914" max="6914" width="26.33203125" customWidth="1"/>
    <col min="6915" max="6919" width="18.44140625" customWidth="1"/>
    <col min="6920" max="6922" width="17.6640625" bestFit="1" customWidth="1"/>
    <col min="6923" max="6961" width="18.6640625" bestFit="1" customWidth="1"/>
    <col min="6962" max="6977" width="12.6640625" bestFit="1" customWidth="1"/>
    <col min="6978" max="7012" width="8.88671875" bestFit="1" customWidth="1"/>
    <col min="7013" max="7013" width="9.88671875" bestFit="1" customWidth="1"/>
    <col min="7014" max="7041" width="9.44140625" bestFit="1" customWidth="1"/>
    <col min="7169" max="7169" width="24.5546875" customWidth="1"/>
    <col min="7170" max="7170" width="26.33203125" customWidth="1"/>
    <col min="7171" max="7175" width="18.44140625" customWidth="1"/>
    <col min="7176" max="7178" width="17.6640625" bestFit="1" customWidth="1"/>
    <col min="7179" max="7217" width="18.6640625" bestFit="1" customWidth="1"/>
    <col min="7218" max="7233" width="12.6640625" bestFit="1" customWidth="1"/>
    <col min="7234" max="7268" width="8.88671875" bestFit="1" customWidth="1"/>
    <col min="7269" max="7269" width="9.88671875" bestFit="1" customWidth="1"/>
    <col min="7270" max="7297" width="9.44140625" bestFit="1" customWidth="1"/>
    <col min="7425" max="7425" width="24.5546875" customWidth="1"/>
    <col min="7426" max="7426" width="26.33203125" customWidth="1"/>
    <col min="7427" max="7431" width="18.44140625" customWidth="1"/>
    <col min="7432" max="7434" width="17.6640625" bestFit="1" customWidth="1"/>
    <col min="7435" max="7473" width="18.6640625" bestFit="1" customWidth="1"/>
    <col min="7474" max="7489" width="12.6640625" bestFit="1" customWidth="1"/>
    <col min="7490" max="7524" width="8.88671875" bestFit="1" customWidth="1"/>
    <col min="7525" max="7525" width="9.88671875" bestFit="1" customWidth="1"/>
    <col min="7526" max="7553" width="9.44140625" bestFit="1" customWidth="1"/>
    <col min="7681" max="7681" width="24.5546875" customWidth="1"/>
    <col min="7682" max="7682" width="26.33203125" customWidth="1"/>
    <col min="7683" max="7687" width="18.44140625" customWidth="1"/>
    <col min="7688" max="7690" width="17.6640625" bestFit="1" customWidth="1"/>
    <col min="7691" max="7729" width="18.6640625" bestFit="1" customWidth="1"/>
    <col min="7730" max="7745" width="12.6640625" bestFit="1" customWidth="1"/>
    <col min="7746" max="7780" width="8.88671875" bestFit="1" customWidth="1"/>
    <col min="7781" max="7781" width="9.88671875" bestFit="1" customWidth="1"/>
    <col min="7782" max="7809" width="9.44140625" bestFit="1" customWidth="1"/>
    <col min="7937" max="7937" width="24.5546875" customWidth="1"/>
    <col min="7938" max="7938" width="26.33203125" customWidth="1"/>
    <col min="7939" max="7943" width="18.44140625" customWidth="1"/>
    <col min="7944" max="7946" width="17.6640625" bestFit="1" customWidth="1"/>
    <col min="7947" max="7985" width="18.6640625" bestFit="1" customWidth="1"/>
    <col min="7986" max="8001" width="12.6640625" bestFit="1" customWidth="1"/>
    <col min="8002" max="8036" width="8.88671875" bestFit="1" customWidth="1"/>
    <col min="8037" max="8037" width="9.88671875" bestFit="1" customWidth="1"/>
    <col min="8038" max="8065" width="9.44140625" bestFit="1" customWidth="1"/>
    <col min="8193" max="8193" width="24.5546875" customWidth="1"/>
    <col min="8194" max="8194" width="26.33203125" customWidth="1"/>
    <col min="8195" max="8199" width="18.44140625" customWidth="1"/>
    <col min="8200" max="8202" width="17.6640625" bestFit="1" customWidth="1"/>
    <col min="8203" max="8241" width="18.6640625" bestFit="1" customWidth="1"/>
    <col min="8242" max="8257" width="12.6640625" bestFit="1" customWidth="1"/>
    <col min="8258" max="8292" width="8.88671875" bestFit="1" customWidth="1"/>
    <col min="8293" max="8293" width="9.88671875" bestFit="1" customWidth="1"/>
    <col min="8294" max="8321" width="9.44140625" bestFit="1" customWidth="1"/>
    <col min="8449" max="8449" width="24.5546875" customWidth="1"/>
    <col min="8450" max="8450" width="26.33203125" customWidth="1"/>
    <col min="8451" max="8455" width="18.44140625" customWidth="1"/>
    <col min="8456" max="8458" width="17.6640625" bestFit="1" customWidth="1"/>
    <col min="8459" max="8497" width="18.6640625" bestFit="1" customWidth="1"/>
    <col min="8498" max="8513" width="12.6640625" bestFit="1" customWidth="1"/>
    <col min="8514" max="8548" width="8.88671875" bestFit="1" customWidth="1"/>
    <col min="8549" max="8549" width="9.88671875" bestFit="1" customWidth="1"/>
    <col min="8550" max="8577" width="9.44140625" bestFit="1" customWidth="1"/>
    <col min="8705" max="8705" width="24.5546875" customWidth="1"/>
    <col min="8706" max="8706" width="26.33203125" customWidth="1"/>
    <col min="8707" max="8711" width="18.44140625" customWidth="1"/>
    <col min="8712" max="8714" width="17.6640625" bestFit="1" customWidth="1"/>
    <col min="8715" max="8753" width="18.6640625" bestFit="1" customWidth="1"/>
    <col min="8754" max="8769" width="12.6640625" bestFit="1" customWidth="1"/>
    <col min="8770" max="8804" width="8.88671875" bestFit="1" customWidth="1"/>
    <col min="8805" max="8805" width="9.88671875" bestFit="1" customWidth="1"/>
    <col min="8806" max="8833" width="9.44140625" bestFit="1" customWidth="1"/>
    <col min="8961" max="8961" width="24.5546875" customWidth="1"/>
    <col min="8962" max="8962" width="26.33203125" customWidth="1"/>
    <col min="8963" max="8967" width="18.44140625" customWidth="1"/>
    <col min="8968" max="8970" width="17.6640625" bestFit="1" customWidth="1"/>
    <col min="8971" max="9009" width="18.6640625" bestFit="1" customWidth="1"/>
    <col min="9010" max="9025" width="12.6640625" bestFit="1" customWidth="1"/>
    <col min="9026" max="9060" width="8.88671875" bestFit="1" customWidth="1"/>
    <col min="9061" max="9061" width="9.88671875" bestFit="1" customWidth="1"/>
    <col min="9062" max="9089" width="9.44140625" bestFit="1" customWidth="1"/>
    <col min="9217" max="9217" width="24.5546875" customWidth="1"/>
    <col min="9218" max="9218" width="26.33203125" customWidth="1"/>
    <col min="9219" max="9223" width="18.44140625" customWidth="1"/>
    <col min="9224" max="9226" width="17.6640625" bestFit="1" customWidth="1"/>
    <col min="9227" max="9265" width="18.6640625" bestFit="1" customWidth="1"/>
    <col min="9266" max="9281" width="12.6640625" bestFit="1" customWidth="1"/>
    <col min="9282" max="9316" width="8.88671875" bestFit="1" customWidth="1"/>
    <col min="9317" max="9317" width="9.88671875" bestFit="1" customWidth="1"/>
    <col min="9318" max="9345" width="9.44140625" bestFit="1" customWidth="1"/>
    <col min="9473" max="9473" width="24.5546875" customWidth="1"/>
    <col min="9474" max="9474" width="26.33203125" customWidth="1"/>
    <col min="9475" max="9479" width="18.44140625" customWidth="1"/>
    <col min="9480" max="9482" width="17.6640625" bestFit="1" customWidth="1"/>
    <col min="9483" max="9521" width="18.6640625" bestFit="1" customWidth="1"/>
    <col min="9522" max="9537" width="12.6640625" bestFit="1" customWidth="1"/>
    <col min="9538" max="9572" width="8.88671875" bestFit="1" customWidth="1"/>
    <col min="9573" max="9573" width="9.88671875" bestFit="1" customWidth="1"/>
    <col min="9574" max="9601" width="9.44140625" bestFit="1" customWidth="1"/>
    <col min="9729" max="9729" width="24.5546875" customWidth="1"/>
    <col min="9730" max="9730" width="26.33203125" customWidth="1"/>
    <col min="9731" max="9735" width="18.44140625" customWidth="1"/>
    <col min="9736" max="9738" width="17.6640625" bestFit="1" customWidth="1"/>
    <col min="9739" max="9777" width="18.6640625" bestFit="1" customWidth="1"/>
    <col min="9778" max="9793" width="12.6640625" bestFit="1" customWidth="1"/>
    <col min="9794" max="9828" width="8.88671875" bestFit="1" customWidth="1"/>
    <col min="9829" max="9829" width="9.88671875" bestFit="1" customWidth="1"/>
    <col min="9830" max="9857" width="9.44140625" bestFit="1" customWidth="1"/>
    <col min="9985" max="9985" width="24.5546875" customWidth="1"/>
    <col min="9986" max="9986" width="26.33203125" customWidth="1"/>
    <col min="9987" max="9991" width="18.44140625" customWidth="1"/>
    <col min="9992" max="9994" width="17.6640625" bestFit="1" customWidth="1"/>
    <col min="9995" max="10033" width="18.6640625" bestFit="1" customWidth="1"/>
    <col min="10034" max="10049" width="12.6640625" bestFit="1" customWidth="1"/>
    <col min="10050" max="10084" width="8.88671875" bestFit="1" customWidth="1"/>
    <col min="10085" max="10085" width="9.88671875" bestFit="1" customWidth="1"/>
    <col min="10086" max="10113" width="9.44140625" bestFit="1" customWidth="1"/>
    <col min="10241" max="10241" width="24.5546875" customWidth="1"/>
    <col min="10242" max="10242" width="26.33203125" customWidth="1"/>
    <col min="10243" max="10247" width="18.44140625" customWidth="1"/>
    <col min="10248" max="10250" width="17.6640625" bestFit="1" customWidth="1"/>
    <col min="10251" max="10289" width="18.6640625" bestFit="1" customWidth="1"/>
    <col min="10290" max="10305" width="12.6640625" bestFit="1" customWidth="1"/>
    <col min="10306" max="10340" width="8.88671875" bestFit="1" customWidth="1"/>
    <col min="10341" max="10341" width="9.88671875" bestFit="1" customWidth="1"/>
    <col min="10342" max="10369" width="9.44140625" bestFit="1" customWidth="1"/>
    <col min="10497" max="10497" width="24.5546875" customWidth="1"/>
    <col min="10498" max="10498" width="26.33203125" customWidth="1"/>
    <col min="10499" max="10503" width="18.44140625" customWidth="1"/>
    <col min="10504" max="10506" width="17.6640625" bestFit="1" customWidth="1"/>
    <col min="10507" max="10545" width="18.6640625" bestFit="1" customWidth="1"/>
    <col min="10546" max="10561" width="12.6640625" bestFit="1" customWidth="1"/>
    <col min="10562" max="10596" width="8.88671875" bestFit="1" customWidth="1"/>
    <col min="10597" max="10597" width="9.88671875" bestFit="1" customWidth="1"/>
    <col min="10598" max="10625" width="9.44140625" bestFit="1" customWidth="1"/>
    <col min="10753" max="10753" width="24.5546875" customWidth="1"/>
    <col min="10754" max="10754" width="26.33203125" customWidth="1"/>
    <col min="10755" max="10759" width="18.44140625" customWidth="1"/>
    <col min="10760" max="10762" width="17.6640625" bestFit="1" customWidth="1"/>
    <col min="10763" max="10801" width="18.6640625" bestFit="1" customWidth="1"/>
    <col min="10802" max="10817" width="12.6640625" bestFit="1" customWidth="1"/>
    <col min="10818" max="10852" width="8.88671875" bestFit="1" customWidth="1"/>
    <col min="10853" max="10853" width="9.88671875" bestFit="1" customWidth="1"/>
    <col min="10854" max="10881" width="9.44140625" bestFit="1" customWidth="1"/>
    <col min="11009" max="11009" width="24.5546875" customWidth="1"/>
    <col min="11010" max="11010" width="26.33203125" customWidth="1"/>
    <col min="11011" max="11015" width="18.44140625" customWidth="1"/>
    <col min="11016" max="11018" width="17.6640625" bestFit="1" customWidth="1"/>
    <col min="11019" max="11057" width="18.6640625" bestFit="1" customWidth="1"/>
    <col min="11058" max="11073" width="12.6640625" bestFit="1" customWidth="1"/>
    <col min="11074" max="11108" width="8.88671875" bestFit="1" customWidth="1"/>
    <col min="11109" max="11109" width="9.88671875" bestFit="1" customWidth="1"/>
    <col min="11110" max="11137" width="9.44140625" bestFit="1" customWidth="1"/>
    <col min="11265" max="11265" width="24.5546875" customWidth="1"/>
    <col min="11266" max="11266" width="26.33203125" customWidth="1"/>
    <col min="11267" max="11271" width="18.44140625" customWidth="1"/>
    <col min="11272" max="11274" width="17.6640625" bestFit="1" customWidth="1"/>
    <col min="11275" max="11313" width="18.6640625" bestFit="1" customWidth="1"/>
    <col min="11314" max="11329" width="12.6640625" bestFit="1" customWidth="1"/>
    <col min="11330" max="11364" width="8.88671875" bestFit="1" customWidth="1"/>
    <col min="11365" max="11365" width="9.88671875" bestFit="1" customWidth="1"/>
    <col min="11366" max="11393" width="9.44140625" bestFit="1" customWidth="1"/>
    <col min="11521" max="11521" width="24.5546875" customWidth="1"/>
    <col min="11522" max="11522" width="26.33203125" customWidth="1"/>
    <col min="11523" max="11527" width="18.44140625" customWidth="1"/>
    <col min="11528" max="11530" width="17.6640625" bestFit="1" customWidth="1"/>
    <col min="11531" max="11569" width="18.6640625" bestFit="1" customWidth="1"/>
    <col min="11570" max="11585" width="12.6640625" bestFit="1" customWidth="1"/>
    <col min="11586" max="11620" width="8.88671875" bestFit="1" customWidth="1"/>
    <col min="11621" max="11621" width="9.88671875" bestFit="1" customWidth="1"/>
    <col min="11622" max="11649" width="9.44140625" bestFit="1" customWidth="1"/>
    <col min="11777" max="11777" width="24.5546875" customWidth="1"/>
    <col min="11778" max="11778" width="26.33203125" customWidth="1"/>
    <col min="11779" max="11783" width="18.44140625" customWidth="1"/>
    <col min="11784" max="11786" width="17.6640625" bestFit="1" customWidth="1"/>
    <col min="11787" max="11825" width="18.6640625" bestFit="1" customWidth="1"/>
    <col min="11826" max="11841" width="12.6640625" bestFit="1" customWidth="1"/>
    <col min="11842" max="11876" width="8.88671875" bestFit="1" customWidth="1"/>
    <col min="11877" max="11877" width="9.88671875" bestFit="1" customWidth="1"/>
    <col min="11878" max="11905" width="9.44140625" bestFit="1" customWidth="1"/>
    <col min="12033" max="12033" width="24.5546875" customWidth="1"/>
    <col min="12034" max="12034" width="26.33203125" customWidth="1"/>
    <col min="12035" max="12039" width="18.44140625" customWidth="1"/>
    <col min="12040" max="12042" width="17.6640625" bestFit="1" customWidth="1"/>
    <col min="12043" max="12081" width="18.6640625" bestFit="1" customWidth="1"/>
    <col min="12082" max="12097" width="12.6640625" bestFit="1" customWidth="1"/>
    <col min="12098" max="12132" width="8.88671875" bestFit="1" customWidth="1"/>
    <col min="12133" max="12133" width="9.88671875" bestFit="1" customWidth="1"/>
    <col min="12134" max="12161" width="9.44140625" bestFit="1" customWidth="1"/>
    <col min="12289" max="12289" width="24.5546875" customWidth="1"/>
    <col min="12290" max="12290" width="26.33203125" customWidth="1"/>
    <col min="12291" max="12295" width="18.44140625" customWidth="1"/>
    <col min="12296" max="12298" width="17.6640625" bestFit="1" customWidth="1"/>
    <col min="12299" max="12337" width="18.6640625" bestFit="1" customWidth="1"/>
    <col min="12338" max="12353" width="12.6640625" bestFit="1" customWidth="1"/>
    <col min="12354" max="12388" width="8.88671875" bestFit="1" customWidth="1"/>
    <col min="12389" max="12389" width="9.88671875" bestFit="1" customWidth="1"/>
    <col min="12390" max="12417" width="9.44140625" bestFit="1" customWidth="1"/>
    <col min="12545" max="12545" width="24.5546875" customWidth="1"/>
    <col min="12546" max="12546" width="26.33203125" customWidth="1"/>
    <col min="12547" max="12551" width="18.44140625" customWidth="1"/>
    <col min="12552" max="12554" width="17.6640625" bestFit="1" customWidth="1"/>
    <col min="12555" max="12593" width="18.6640625" bestFit="1" customWidth="1"/>
    <col min="12594" max="12609" width="12.6640625" bestFit="1" customWidth="1"/>
    <col min="12610" max="12644" width="8.88671875" bestFit="1" customWidth="1"/>
    <col min="12645" max="12645" width="9.88671875" bestFit="1" customWidth="1"/>
    <col min="12646" max="12673" width="9.44140625" bestFit="1" customWidth="1"/>
    <col min="12801" max="12801" width="24.5546875" customWidth="1"/>
    <col min="12802" max="12802" width="26.33203125" customWidth="1"/>
    <col min="12803" max="12807" width="18.44140625" customWidth="1"/>
    <col min="12808" max="12810" width="17.6640625" bestFit="1" customWidth="1"/>
    <col min="12811" max="12849" width="18.6640625" bestFit="1" customWidth="1"/>
    <col min="12850" max="12865" width="12.6640625" bestFit="1" customWidth="1"/>
    <col min="12866" max="12900" width="8.88671875" bestFit="1" customWidth="1"/>
    <col min="12901" max="12901" width="9.88671875" bestFit="1" customWidth="1"/>
    <col min="12902" max="12929" width="9.44140625" bestFit="1" customWidth="1"/>
    <col min="13057" max="13057" width="24.5546875" customWidth="1"/>
    <col min="13058" max="13058" width="26.33203125" customWidth="1"/>
    <col min="13059" max="13063" width="18.44140625" customWidth="1"/>
    <col min="13064" max="13066" width="17.6640625" bestFit="1" customWidth="1"/>
    <col min="13067" max="13105" width="18.6640625" bestFit="1" customWidth="1"/>
    <col min="13106" max="13121" width="12.6640625" bestFit="1" customWidth="1"/>
    <col min="13122" max="13156" width="8.88671875" bestFit="1" customWidth="1"/>
    <col min="13157" max="13157" width="9.88671875" bestFit="1" customWidth="1"/>
    <col min="13158" max="13185" width="9.44140625" bestFit="1" customWidth="1"/>
    <col min="13313" max="13313" width="24.5546875" customWidth="1"/>
    <col min="13314" max="13314" width="26.33203125" customWidth="1"/>
    <col min="13315" max="13319" width="18.44140625" customWidth="1"/>
    <col min="13320" max="13322" width="17.6640625" bestFit="1" customWidth="1"/>
    <col min="13323" max="13361" width="18.6640625" bestFit="1" customWidth="1"/>
    <col min="13362" max="13377" width="12.6640625" bestFit="1" customWidth="1"/>
    <col min="13378" max="13412" width="8.88671875" bestFit="1" customWidth="1"/>
    <col min="13413" max="13413" width="9.88671875" bestFit="1" customWidth="1"/>
    <col min="13414" max="13441" width="9.44140625" bestFit="1" customWidth="1"/>
    <col min="13569" max="13569" width="24.5546875" customWidth="1"/>
    <col min="13570" max="13570" width="26.33203125" customWidth="1"/>
    <col min="13571" max="13575" width="18.44140625" customWidth="1"/>
    <col min="13576" max="13578" width="17.6640625" bestFit="1" customWidth="1"/>
    <col min="13579" max="13617" width="18.6640625" bestFit="1" customWidth="1"/>
    <col min="13618" max="13633" width="12.6640625" bestFit="1" customWidth="1"/>
    <col min="13634" max="13668" width="8.88671875" bestFit="1" customWidth="1"/>
    <col min="13669" max="13669" width="9.88671875" bestFit="1" customWidth="1"/>
    <col min="13670" max="13697" width="9.44140625" bestFit="1" customWidth="1"/>
    <col min="13825" max="13825" width="24.5546875" customWidth="1"/>
    <col min="13826" max="13826" width="26.33203125" customWidth="1"/>
    <col min="13827" max="13831" width="18.44140625" customWidth="1"/>
    <col min="13832" max="13834" width="17.6640625" bestFit="1" customWidth="1"/>
    <col min="13835" max="13873" width="18.6640625" bestFit="1" customWidth="1"/>
    <col min="13874" max="13889" width="12.6640625" bestFit="1" customWidth="1"/>
    <col min="13890" max="13924" width="8.88671875" bestFit="1" customWidth="1"/>
    <col min="13925" max="13925" width="9.88671875" bestFit="1" customWidth="1"/>
    <col min="13926" max="13953" width="9.44140625" bestFit="1" customWidth="1"/>
    <col min="14081" max="14081" width="24.5546875" customWidth="1"/>
    <col min="14082" max="14082" width="26.33203125" customWidth="1"/>
    <col min="14083" max="14087" width="18.44140625" customWidth="1"/>
    <col min="14088" max="14090" width="17.6640625" bestFit="1" customWidth="1"/>
    <col min="14091" max="14129" width="18.6640625" bestFit="1" customWidth="1"/>
    <col min="14130" max="14145" width="12.6640625" bestFit="1" customWidth="1"/>
    <col min="14146" max="14180" width="8.88671875" bestFit="1" customWidth="1"/>
    <col min="14181" max="14181" width="9.88671875" bestFit="1" customWidth="1"/>
    <col min="14182" max="14209" width="9.44140625" bestFit="1" customWidth="1"/>
    <col min="14337" max="14337" width="24.5546875" customWidth="1"/>
    <col min="14338" max="14338" width="26.33203125" customWidth="1"/>
    <col min="14339" max="14343" width="18.44140625" customWidth="1"/>
    <col min="14344" max="14346" width="17.6640625" bestFit="1" customWidth="1"/>
    <col min="14347" max="14385" width="18.6640625" bestFit="1" customWidth="1"/>
    <col min="14386" max="14401" width="12.6640625" bestFit="1" customWidth="1"/>
    <col min="14402" max="14436" width="8.88671875" bestFit="1" customWidth="1"/>
    <col min="14437" max="14437" width="9.88671875" bestFit="1" customWidth="1"/>
    <col min="14438" max="14465" width="9.44140625" bestFit="1" customWidth="1"/>
    <col min="14593" max="14593" width="24.5546875" customWidth="1"/>
    <col min="14594" max="14594" width="26.33203125" customWidth="1"/>
    <col min="14595" max="14599" width="18.44140625" customWidth="1"/>
    <col min="14600" max="14602" width="17.6640625" bestFit="1" customWidth="1"/>
    <col min="14603" max="14641" width="18.6640625" bestFit="1" customWidth="1"/>
    <col min="14642" max="14657" width="12.6640625" bestFit="1" customWidth="1"/>
    <col min="14658" max="14692" width="8.88671875" bestFit="1" customWidth="1"/>
    <col min="14693" max="14693" width="9.88671875" bestFit="1" customWidth="1"/>
    <col min="14694" max="14721" width="9.44140625" bestFit="1" customWidth="1"/>
    <col min="14849" max="14849" width="24.5546875" customWidth="1"/>
    <col min="14850" max="14850" width="26.33203125" customWidth="1"/>
    <col min="14851" max="14855" width="18.44140625" customWidth="1"/>
    <col min="14856" max="14858" width="17.6640625" bestFit="1" customWidth="1"/>
    <col min="14859" max="14897" width="18.6640625" bestFit="1" customWidth="1"/>
    <col min="14898" max="14913" width="12.6640625" bestFit="1" customWidth="1"/>
    <col min="14914" max="14948" width="8.88671875" bestFit="1" customWidth="1"/>
    <col min="14949" max="14949" width="9.88671875" bestFit="1" customWidth="1"/>
    <col min="14950" max="14977" width="9.44140625" bestFit="1" customWidth="1"/>
    <col min="15105" max="15105" width="24.5546875" customWidth="1"/>
    <col min="15106" max="15106" width="26.33203125" customWidth="1"/>
    <col min="15107" max="15111" width="18.44140625" customWidth="1"/>
    <col min="15112" max="15114" width="17.6640625" bestFit="1" customWidth="1"/>
    <col min="15115" max="15153" width="18.6640625" bestFit="1" customWidth="1"/>
    <col min="15154" max="15169" width="12.6640625" bestFit="1" customWidth="1"/>
    <col min="15170" max="15204" width="8.88671875" bestFit="1" customWidth="1"/>
    <col min="15205" max="15205" width="9.88671875" bestFit="1" customWidth="1"/>
    <col min="15206" max="15233" width="9.44140625" bestFit="1" customWidth="1"/>
    <col min="15361" max="15361" width="24.5546875" customWidth="1"/>
    <col min="15362" max="15362" width="26.33203125" customWidth="1"/>
    <col min="15363" max="15367" width="18.44140625" customWidth="1"/>
    <col min="15368" max="15370" width="17.6640625" bestFit="1" customWidth="1"/>
    <col min="15371" max="15409" width="18.6640625" bestFit="1" customWidth="1"/>
    <col min="15410" max="15425" width="12.6640625" bestFit="1" customWidth="1"/>
    <col min="15426" max="15460" width="8.88671875" bestFit="1" customWidth="1"/>
    <col min="15461" max="15461" width="9.88671875" bestFit="1" customWidth="1"/>
    <col min="15462" max="15489" width="9.44140625" bestFit="1" customWidth="1"/>
    <col min="15617" max="15617" width="24.5546875" customWidth="1"/>
    <col min="15618" max="15618" width="26.33203125" customWidth="1"/>
    <col min="15619" max="15623" width="18.44140625" customWidth="1"/>
    <col min="15624" max="15626" width="17.6640625" bestFit="1" customWidth="1"/>
    <col min="15627" max="15665" width="18.6640625" bestFit="1" customWidth="1"/>
    <col min="15666" max="15681" width="12.6640625" bestFit="1" customWidth="1"/>
    <col min="15682" max="15716" width="8.88671875" bestFit="1" customWidth="1"/>
    <col min="15717" max="15717" width="9.88671875" bestFit="1" customWidth="1"/>
    <col min="15718" max="15745" width="9.44140625" bestFit="1" customWidth="1"/>
    <col min="15873" max="15873" width="24.5546875" customWidth="1"/>
    <col min="15874" max="15874" width="26.33203125" customWidth="1"/>
    <col min="15875" max="15879" width="18.44140625" customWidth="1"/>
    <col min="15880" max="15882" width="17.6640625" bestFit="1" customWidth="1"/>
    <col min="15883" max="15921" width="18.6640625" bestFit="1" customWidth="1"/>
    <col min="15922" max="15937" width="12.6640625" bestFit="1" customWidth="1"/>
    <col min="15938" max="15972" width="8.88671875" bestFit="1" customWidth="1"/>
    <col min="15973" max="15973" width="9.88671875" bestFit="1" customWidth="1"/>
    <col min="15974" max="16001" width="9.44140625" bestFit="1" customWidth="1"/>
    <col min="16129" max="16129" width="24.5546875" customWidth="1"/>
    <col min="16130" max="16130" width="26.33203125" customWidth="1"/>
    <col min="16131" max="16135" width="18.44140625" customWidth="1"/>
    <col min="16136" max="16138" width="17.6640625" bestFit="1" customWidth="1"/>
    <col min="16139" max="16177" width="18.6640625" bestFit="1" customWidth="1"/>
    <col min="16178" max="16193" width="12.6640625" bestFit="1" customWidth="1"/>
    <col min="16194" max="16228" width="8.88671875" bestFit="1" customWidth="1"/>
    <col min="16229" max="16229" width="9.88671875" bestFit="1" customWidth="1"/>
    <col min="16230" max="16257" width="9.44140625" bestFit="1" customWidth="1"/>
  </cols>
  <sheetData>
    <row r="1" spans="1:5">
      <c r="B1" t="s">
        <v>1079</v>
      </c>
      <c r="C1">
        <v>200</v>
      </c>
      <c r="D1">
        <v>1</v>
      </c>
      <c r="E1">
        <v>1</v>
      </c>
    </row>
    <row r="2" spans="1:5">
      <c r="B2" t="s">
        <v>1080</v>
      </c>
    </row>
    <row r="3" spans="1:5">
      <c r="A3" t="s">
        <v>1081</v>
      </c>
      <c r="B3" t="s">
        <v>34</v>
      </c>
    </row>
    <row r="4" spans="1:5">
      <c r="A4" t="s">
        <v>1082</v>
      </c>
      <c r="B4" t="s">
        <v>1083</v>
      </c>
    </row>
    <row r="5" spans="1:5">
      <c r="A5" t="s">
        <v>3768</v>
      </c>
      <c r="B5" t="s">
        <v>34</v>
      </c>
    </row>
    <row r="6" spans="1:5">
      <c r="A6" t="s">
        <v>3769</v>
      </c>
      <c r="B6" t="s">
        <v>34</v>
      </c>
    </row>
    <row r="7" spans="1:5">
      <c r="A7" t="s">
        <v>3770</v>
      </c>
      <c r="B7" t="s">
        <v>34</v>
      </c>
    </row>
    <row r="8" spans="1:5">
      <c r="A8" t="s">
        <v>3771</v>
      </c>
      <c r="B8" t="s">
        <v>34</v>
      </c>
    </row>
    <row r="9" spans="1:5">
      <c r="A9" t="s">
        <v>3772</v>
      </c>
      <c r="B9" t="s">
        <v>3995</v>
      </c>
    </row>
    <row r="10" spans="1:5">
      <c r="A10" t="s">
        <v>3773</v>
      </c>
      <c r="B10" t="s">
        <v>34</v>
      </c>
    </row>
    <row r="11" spans="1:5">
      <c r="A11" t="s">
        <v>3774</v>
      </c>
    </row>
    <row r="12" spans="1:5">
      <c r="A12" t="s">
        <v>3775</v>
      </c>
    </row>
    <row r="13" spans="1:5">
      <c r="A13" t="s">
        <v>3776</v>
      </c>
    </row>
    <row r="14" spans="1:5">
      <c r="A14" t="s">
        <v>3777</v>
      </c>
    </row>
    <row r="15" spans="1:5">
      <c r="A15" t="s">
        <v>3778</v>
      </c>
    </row>
    <row r="16" spans="1:5">
      <c r="A16" t="s">
        <v>3779</v>
      </c>
    </row>
    <row r="17" spans="1:1">
      <c r="A17" t="s">
        <v>3780</v>
      </c>
    </row>
    <row r="18" spans="1:1">
      <c r="A18" t="s">
        <v>3781</v>
      </c>
    </row>
    <row r="19" spans="1:1">
      <c r="A19" t="s">
        <v>3782</v>
      </c>
    </row>
    <row r="20" spans="1:1">
      <c r="A20" t="s">
        <v>3783</v>
      </c>
    </row>
    <row r="21" spans="1:1">
      <c r="A21" t="s">
        <v>1084</v>
      </c>
    </row>
    <row r="22" spans="1:1">
      <c r="A22" t="s">
        <v>1085</v>
      </c>
    </row>
    <row r="23" spans="1:1">
      <c r="A23" t="s">
        <v>1086</v>
      </c>
    </row>
    <row r="24" spans="1:1">
      <c r="A24" t="s">
        <v>1087</v>
      </c>
    </row>
    <row r="25" spans="1:1">
      <c r="A25" t="s">
        <v>1088</v>
      </c>
    </row>
    <row r="26" spans="1:1">
      <c r="A26" t="s">
        <v>1089</v>
      </c>
    </row>
    <row r="27" spans="1:1">
      <c r="A27" t="s">
        <v>1090</v>
      </c>
    </row>
    <row r="28" spans="1:1">
      <c r="A28" t="s">
        <v>1091</v>
      </c>
    </row>
    <row r="29" spans="1:1">
      <c r="A29" t="s">
        <v>1092</v>
      </c>
    </row>
    <row r="30" spans="1:1">
      <c r="A30" t="s">
        <v>1093</v>
      </c>
    </row>
    <row r="31" spans="1:1">
      <c r="A31" t="s">
        <v>1094</v>
      </c>
    </row>
    <row r="32" spans="1:1">
      <c r="A32" t="s">
        <v>1095</v>
      </c>
    </row>
    <row r="33" spans="1:2">
      <c r="A33" t="s">
        <v>1096</v>
      </c>
    </row>
    <row r="34" spans="1:2">
      <c r="A34" t="s">
        <v>1097</v>
      </c>
    </row>
    <row r="35" spans="1:2">
      <c r="A35" t="s">
        <v>1098</v>
      </c>
    </row>
    <row r="36" spans="1:2">
      <c r="A36" t="s">
        <v>1099</v>
      </c>
    </row>
    <row r="37" spans="1:2">
      <c r="A37" t="s">
        <v>1100</v>
      </c>
    </row>
    <row r="38" spans="1:2">
      <c r="A38" t="s">
        <v>1101</v>
      </c>
    </row>
    <row r="39" spans="1:2">
      <c r="A39" t="s">
        <v>1102</v>
      </c>
    </row>
    <row r="40" spans="1:2">
      <c r="A40" t="s">
        <v>1103</v>
      </c>
    </row>
    <row r="41" spans="1:2">
      <c r="A41" t="s">
        <v>1104</v>
      </c>
    </row>
    <row r="42" spans="1:2">
      <c r="A42" t="s">
        <v>1105</v>
      </c>
    </row>
    <row r="43" spans="1:2">
      <c r="A43" t="s">
        <v>1106</v>
      </c>
    </row>
    <row r="44" spans="1:2">
      <c r="A44" t="s">
        <v>1107</v>
      </c>
    </row>
    <row r="45" spans="1:2">
      <c r="A45" t="s">
        <v>1108</v>
      </c>
      <c r="B45" t="s">
        <v>3999</v>
      </c>
    </row>
    <row r="46" spans="1:2">
      <c r="A46" t="s">
        <v>1109</v>
      </c>
      <c r="B46">
        <v>0</v>
      </c>
    </row>
    <row r="47" spans="1:2">
      <c r="A47" t="s">
        <v>3784</v>
      </c>
      <c r="B47" s="480">
        <v>0</v>
      </c>
    </row>
    <row r="48" spans="1:2">
      <c r="A48" t="s">
        <v>3785</v>
      </c>
      <c r="B48" s="480">
        <v>0</v>
      </c>
    </row>
    <row r="49" spans="1:1">
      <c r="A49" t="s">
        <v>3786</v>
      </c>
    </row>
    <row r="50" spans="1:1">
      <c r="A50" t="s">
        <v>3787</v>
      </c>
    </row>
    <row r="51" spans="1:1">
      <c r="A51" t="s">
        <v>3788</v>
      </c>
    </row>
    <row r="52" spans="1:1">
      <c r="A52" t="s">
        <v>3789</v>
      </c>
    </row>
    <row r="53" spans="1:1">
      <c r="A53" t="s">
        <v>3790</v>
      </c>
    </row>
    <row r="54" spans="1:1">
      <c r="A54" t="s">
        <v>3791</v>
      </c>
    </row>
    <row r="55" spans="1:1">
      <c r="A55" t="s">
        <v>3792</v>
      </c>
    </row>
    <row r="56" spans="1:1">
      <c r="A56" t="s">
        <v>3793</v>
      </c>
    </row>
    <row r="57" spans="1:1">
      <c r="A57" t="s">
        <v>3794</v>
      </c>
    </row>
    <row r="58" spans="1:1">
      <c r="A58" t="s">
        <v>3795</v>
      </c>
    </row>
    <row r="59" spans="1:1">
      <c r="A59" t="s">
        <v>3796</v>
      </c>
    </row>
    <row r="60" spans="1:1">
      <c r="A60" t="s">
        <v>3797</v>
      </c>
    </row>
    <row r="61" spans="1:1">
      <c r="A61" t="s">
        <v>3798</v>
      </c>
    </row>
    <row r="62" spans="1:1">
      <c r="A62" t="s">
        <v>3799</v>
      </c>
    </row>
    <row r="63" spans="1:1">
      <c r="A63" t="s">
        <v>3800</v>
      </c>
    </row>
    <row r="64" spans="1:1">
      <c r="A64" t="s">
        <v>3801</v>
      </c>
    </row>
    <row r="65" spans="1:1">
      <c r="A65" t="s">
        <v>3802</v>
      </c>
    </row>
    <row r="66" spans="1:1">
      <c r="A66" t="s">
        <v>3803</v>
      </c>
    </row>
    <row r="67" spans="1:1">
      <c r="A67" t="s">
        <v>3804</v>
      </c>
    </row>
    <row r="68" spans="1:1">
      <c r="A68" t="s">
        <v>3805</v>
      </c>
    </row>
    <row r="69" spans="1:1">
      <c r="A69" t="s">
        <v>3806</v>
      </c>
    </row>
    <row r="70" spans="1:1">
      <c r="A70" t="s">
        <v>3807</v>
      </c>
    </row>
    <row r="71" spans="1:1">
      <c r="A71" t="s">
        <v>3808</v>
      </c>
    </row>
    <row r="72" spans="1:1">
      <c r="A72" t="s">
        <v>3809</v>
      </c>
    </row>
    <row r="73" spans="1:1">
      <c r="A73" t="s">
        <v>3810</v>
      </c>
    </row>
    <row r="74" spans="1:1">
      <c r="A74" t="s">
        <v>3811</v>
      </c>
    </row>
    <row r="75" spans="1:1">
      <c r="A75" t="s">
        <v>3812</v>
      </c>
    </row>
    <row r="76" spans="1:1">
      <c r="A76" t="s">
        <v>3813</v>
      </c>
    </row>
    <row r="77" spans="1:1">
      <c r="A77" t="s">
        <v>3814</v>
      </c>
    </row>
    <row r="78" spans="1:1">
      <c r="A78" t="s">
        <v>3815</v>
      </c>
    </row>
    <row r="79" spans="1:1">
      <c r="A79" t="s">
        <v>3816</v>
      </c>
    </row>
    <row r="80" spans="1:1">
      <c r="A80" t="s">
        <v>3817</v>
      </c>
    </row>
    <row r="81" spans="1:1">
      <c r="A81" t="s">
        <v>3818</v>
      </c>
    </row>
    <row r="82" spans="1:1">
      <c r="A82" t="s">
        <v>3819</v>
      </c>
    </row>
    <row r="83" spans="1:1">
      <c r="A83" t="s">
        <v>3820</v>
      </c>
    </row>
    <row r="84" spans="1:1">
      <c r="A84" t="s">
        <v>3821</v>
      </c>
    </row>
    <row r="85" spans="1:1">
      <c r="A85" t="s">
        <v>3822</v>
      </c>
    </row>
    <row r="86" spans="1:1">
      <c r="A86" t="s">
        <v>3823</v>
      </c>
    </row>
    <row r="87" spans="1:1">
      <c r="A87" t="s">
        <v>3824</v>
      </c>
    </row>
    <row r="88" spans="1:1">
      <c r="A88" t="s">
        <v>3825</v>
      </c>
    </row>
    <row r="89" spans="1:1">
      <c r="A89" t="s">
        <v>3826</v>
      </c>
    </row>
    <row r="90" spans="1:1">
      <c r="A90" t="s">
        <v>3827</v>
      </c>
    </row>
    <row r="91" spans="1:1">
      <c r="A91" t="s">
        <v>3828</v>
      </c>
    </row>
    <row r="92" spans="1:1">
      <c r="A92" t="s">
        <v>3829</v>
      </c>
    </row>
    <row r="93" spans="1:1">
      <c r="A93" t="s">
        <v>3830</v>
      </c>
    </row>
    <row r="94" spans="1:1">
      <c r="A94" t="s">
        <v>3831</v>
      </c>
    </row>
    <row r="95" spans="1:1">
      <c r="A95" t="s">
        <v>3832</v>
      </c>
    </row>
    <row r="96" spans="1:1">
      <c r="A96" t="s">
        <v>3833</v>
      </c>
    </row>
    <row r="97" spans="1:1">
      <c r="A97" t="s">
        <v>3834</v>
      </c>
    </row>
    <row r="98" spans="1:1">
      <c r="A98" t="s">
        <v>3835</v>
      </c>
    </row>
    <row r="99" spans="1:1">
      <c r="A99" t="s">
        <v>3836</v>
      </c>
    </row>
    <row r="100" spans="1:1">
      <c r="A100" t="s">
        <v>3837</v>
      </c>
    </row>
    <row r="101" spans="1:1">
      <c r="A101" t="s">
        <v>3838</v>
      </c>
    </row>
    <row r="102" spans="1:1">
      <c r="A102" t="s">
        <v>3839</v>
      </c>
    </row>
    <row r="103" spans="1:1">
      <c r="A103" t="s">
        <v>3840</v>
      </c>
    </row>
    <row r="104" spans="1:1">
      <c r="A104" t="s">
        <v>3841</v>
      </c>
    </row>
    <row r="105" spans="1:1">
      <c r="A105" t="s">
        <v>3842</v>
      </c>
    </row>
    <row r="106" spans="1:1">
      <c r="A106" t="s">
        <v>3843</v>
      </c>
    </row>
    <row r="107" spans="1:1">
      <c r="A107" t="s">
        <v>3844</v>
      </c>
    </row>
    <row r="108" spans="1:1">
      <c r="A108" t="s">
        <v>3845</v>
      </c>
    </row>
    <row r="109" spans="1:1">
      <c r="A109" t="s">
        <v>3846</v>
      </c>
    </row>
    <row r="110" spans="1:1">
      <c r="A110" t="s">
        <v>3847</v>
      </c>
    </row>
    <row r="111" spans="1:1">
      <c r="A111" t="s">
        <v>1110</v>
      </c>
    </row>
    <row r="112" spans="1:1">
      <c r="A112" t="s">
        <v>1111</v>
      </c>
    </row>
    <row r="113" spans="1:2">
      <c r="A113" t="s">
        <v>1112</v>
      </c>
    </row>
    <row r="114" spans="1:2">
      <c r="A114" t="s">
        <v>1113</v>
      </c>
    </row>
    <row r="115" spans="1:2">
      <c r="A115" t="s">
        <v>1114</v>
      </c>
    </row>
    <row r="116" spans="1:2">
      <c r="A116" t="s">
        <v>1115</v>
      </c>
    </row>
    <row r="117" spans="1:2">
      <c r="A117" t="s">
        <v>1116</v>
      </c>
    </row>
    <row r="118" spans="1:2">
      <c r="A118" t="s">
        <v>1117</v>
      </c>
    </row>
    <row r="119" spans="1:2">
      <c r="A119" t="s">
        <v>1118</v>
      </c>
    </row>
    <row r="120" spans="1:2">
      <c r="A120" t="s">
        <v>1119</v>
      </c>
    </row>
    <row r="121" spans="1:2">
      <c r="A121" t="s">
        <v>1120</v>
      </c>
    </row>
    <row r="122" spans="1:2">
      <c r="A122" t="s">
        <v>1121</v>
      </c>
    </row>
    <row r="123" spans="1:2">
      <c r="A123" t="s">
        <v>1122</v>
      </c>
      <c r="B123" t="s">
        <v>3998</v>
      </c>
    </row>
    <row r="124" spans="1:2">
      <c r="A124" t="s">
        <v>1123</v>
      </c>
      <c r="B124" t="s">
        <v>3997</v>
      </c>
    </row>
    <row r="125" spans="1:2">
      <c r="A125" t="s">
        <v>3848</v>
      </c>
    </row>
    <row r="126" spans="1:2">
      <c r="A126" t="s">
        <v>3849</v>
      </c>
    </row>
    <row r="127" spans="1:2">
      <c r="A127" t="s">
        <v>3850</v>
      </c>
    </row>
    <row r="128" spans="1:2">
      <c r="A128" t="s">
        <v>3851</v>
      </c>
    </row>
    <row r="129" spans="1:1">
      <c r="A129" t="s">
        <v>3852</v>
      </c>
    </row>
    <row r="130" spans="1:1">
      <c r="A130" t="s">
        <v>3853</v>
      </c>
    </row>
    <row r="131" spans="1:1">
      <c r="A131" t="s">
        <v>3854</v>
      </c>
    </row>
    <row r="132" spans="1:1">
      <c r="A132" t="s">
        <v>3855</v>
      </c>
    </row>
    <row r="133" spans="1:1">
      <c r="A133" t="s">
        <v>3856</v>
      </c>
    </row>
    <row r="134" spans="1:1">
      <c r="A134" t="s">
        <v>3857</v>
      </c>
    </row>
    <row r="135" spans="1:1">
      <c r="A135" t="s">
        <v>3858</v>
      </c>
    </row>
    <row r="136" spans="1:1">
      <c r="A136" t="s">
        <v>3859</v>
      </c>
    </row>
    <row r="137" spans="1:1">
      <c r="A137" t="s">
        <v>3860</v>
      </c>
    </row>
    <row r="138" spans="1:1">
      <c r="A138" t="s">
        <v>3861</v>
      </c>
    </row>
    <row r="139" spans="1:1">
      <c r="A139" t="s">
        <v>3862</v>
      </c>
    </row>
    <row r="140" spans="1:1">
      <c r="A140" t="s">
        <v>3863</v>
      </c>
    </row>
    <row r="141" spans="1:1">
      <c r="A141" t="s">
        <v>3864</v>
      </c>
    </row>
    <row r="142" spans="1:1">
      <c r="A142" t="s">
        <v>3865</v>
      </c>
    </row>
    <row r="143" spans="1:1">
      <c r="A143" t="s">
        <v>3866</v>
      </c>
    </row>
    <row r="144" spans="1:1">
      <c r="A144" t="s">
        <v>3867</v>
      </c>
    </row>
    <row r="145" spans="1:1">
      <c r="A145" t="s">
        <v>3868</v>
      </c>
    </row>
    <row r="146" spans="1:1">
      <c r="A146" t="s">
        <v>3869</v>
      </c>
    </row>
    <row r="147" spans="1:1">
      <c r="A147" t="s">
        <v>3870</v>
      </c>
    </row>
    <row r="148" spans="1:1">
      <c r="A148" t="s">
        <v>3871</v>
      </c>
    </row>
    <row r="149" spans="1:1">
      <c r="A149" t="s">
        <v>3872</v>
      </c>
    </row>
    <row r="150" spans="1:1">
      <c r="A150" t="s">
        <v>3873</v>
      </c>
    </row>
    <row r="151" spans="1:1">
      <c r="A151" t="s">
        <v>3874</v>
      </c>
    </row>
    <row r="152" spans="1:1">
      <c r="A152" t="s">
        <v>3875</v>
      </c>
    </row>
    <row r="153" spans="1:1">
      <c r="A153" t="s">
        <v>3876</v>
      </c>
    </row>
    <row r="154" spans="1:1">
      <c r="A154" t="s">
        <v>3877</v>
      </c>
    </row>
    <row r="155" spans="1:1">
      <c r="A155" t="s">
        <v>3878</v>
      </c>
    </row>
    <row r="156" spans="1:1">
      <c r="A156" t="s">
        <v>3879</v>
      </c>
    </row>
    <row r="157" spans="1:1">
      <c r="A157" t="s">
        <v>1124</v>
      </c>
    </row>
    <row r="158" spans="1:1">
      <c r="A158" t="s">
        <v>3880</v>
      </c>
    </row>
    <row r="159" spans="1:1">
      <c r="A159" t="s">
        <v>3881</v>
      </c>
    </row>
    <row r="160" spans="1:1">
      <c r="A160" t="s">
        <v>3882</v>
      </c>
    </row>
    <row r="161" spans="1:1">
      <c r="A161" t="s">
        <v>3883</v>
      </c>
    </row>
    <row r="162" spans="1:1">
      <c r="A162" t="s">
        <v>3884</v>
      </c>
    </row>
    <row r="163" spans="1:1">
      <c r="A163" t="s">
        <v>3885</v>
      </c>
    </row>
    <row r="164" spans="1:1">
      <c r="A164" t="s">
        <v>3886</v>
      </c>
    </row>
    <row r="165" spans="1:1">
      <c r="A165" t="s">
        <v>3887</v>
      </c>
    </row>
    <row r="166" spans="1:1">
      <c r="A166" t="s">
        <v>3888</v>
      </c>
    </row>
    <row r="167" spans="1:1">
      <c r="A167" t="s">
        <v>3889</v>
      </c>
    </row>
    <row r="168" spans="1:1">
      <c r="A168" t="s">
        <v>3890</v>
      </c>
    </row>
    <row r="169" spans="1:1">
      <c r="A169" t="s">
        <v>3891</v>
      </c>
    </row>
    <row r="170" spans="1:1">
      <c r="A170" t="s">
        <v>3892</v>
      </c>
    </row>
    <row r="171" spans="1:1">
      <c r="A171" t="s">
        <v>3893</v>
      </c>
    </row>
    <row r="172" spans="1:1">
      <c r="A172" t="s">
        <v>3894</v>
      </c>
    </row>
    <row r="173" spans="1:1">
      <c r="A173" t="s">
        <v>3895</v>
      </c>
    </row>
    <row r="174" spans="1:1">
      <c r="A174" t="s">
        <v>3896</v>
      </c>
    </row>
    <row r="175" spans="1:1">
      <c r="A175" t="s">
        <v>3897</v>
      </c>
    </row>
    <row r="176" spans="1:1">
      <c r="A176" t="s">
        <v>3898</v>
      </c>
    </row>
    <row r="177" spans="1:2">
      <c r="A177" t="s">
        <v>3899</v>
      </c>
    </row>
    <row r="178" spans="1:2">
      <c r="A178" t="s">
        <v>3900</v>
      </c>
    </row>
    <row r="179" spans="1:2">
      <c r="A179" t="s">
        <v>3901</v>
      </c>
    </row>
    <row r="180" spans="1:2">
      <c r="A180" t="s">
        <v>3902</v>
      </c>
    </row>
    <row r="181" spans="1:2">
      <c r="A181" t="s">
        <v>3903</v>
      </c>
    </row>
    <row r="182" spans="1:2">
      <c r="A182" t="s">
        <v>3904</v>
      </c>
    </row>
    <row r="183" spans="1:2">
      <c r="A183" t="s">
        <v>3905</v>
      </c>
    </row>
    <row r="184" spans="1:2">
      <c r="A184" t="s">
        <v>3906</v>
      </c>
    </row>
    <row r="185" spans="1:2">
      <c r="A185" t="s">
        <v>3907</v>
      </c>
    </row>
    <row r="186" spans="1:2">
      <c r="A186" t="s">
        <v>3908</v>
      </c>
    </row>
    <row r="187" spans="1:2">
      <c r="A187" t="s">
        <v>3909</v>
      </c>
    </row>
    <row r="188" spans="1:2">
      <c r="A188" t="s">
        <v>3910</v>
      </c>
    </row>
    <row r="189" spans="1:2">
      <c r="A189" t="s">
        <v>3911</v>
      </c>
    </row>
    <row r="190" spans="1:2">
      <c r="A190" t="s">
        <v>1125</v>
      </c>
    </row>
    <row r="191" spans="1:2">
      <c r="A191" t="s">
        <v>1126</v>
      </c>
      <c r="B191" s="480"/>
    </row>
    <row r="192" spans="1:2">
      <c r="A192" t="s">
        <v>1127</v>
      </c>
      <c r="B192" s="480"/>
    </row>
    <row r="193" spans="1:17">
      <c r="A193" t="s">
        <v>1128</v>
      </c>
    </row>
    <row r="194" spans="1:17">
      <c r="A194" t="s">
        <v>1129</v>
      </c>
    </row>
    <row r="195" spans="1:17">
      <c r="A195" t="s">
        <v>1130</v>
      </c>
      <c r="B195">
        <v>1</v>
      </c>
    </row>
    <row r="196" spans="1:17">
      <c r="A196" t="s">
        <v>1131</v>
      </c>
    </row>
    <row r="197" spans="1:17">
      <c r="A197" t="s">
        <v>1132</v>
      </c>
      <c r="B197">
        <v>176</v>
      </c>
    </row>
    <row r="198" spans="1:17">
      <c r="A198" t="s">
        <v>1133</v>
      </c>
      <c r="B198" t="s">
        <v>1134</v>
      </c>
    </row>
    <row r="199" spans="1:17">
      <c r="A199" t="s">
        <v>1135</v>
      </c>
      <c r="B199" t="s">
        <v>3985</v>
      </c>
    </row>
    <row r="200" spans="1:17">
      <c r="A200" t="s">
        <v>1136</v>
      </c>
      <c r="B200" t="s">
        <v>3917</v>
      </c>
    </row>
    <row r="201" spans="1:17">
      <c r="A201" t="s">
        <v>1137</v>
      </c>
    </row>
    <row r="202" spans="1:17">
      <c r="A202" t="s">
        <v>307</v>
      </c>
    </row>
    <row r="204" spans="1:17">
      <c r="B204" t="s">
        <v>1138</v>
      </c>
      <c r="C204">
        <v>1</v>
      </c>
      <c r="D204">
        <v>16</v>
      </c>
      <c r="E204">
        <v>1</v>
      </c>
    </row>
    <row r="205" spans="1:17">
      <c r="B205" t="s">
        <v>1139</v>
      </c>
      <c r="C205" t="s">
        <v>1140</v>
      </c>
      <c r="D205" t="s">
        <v>1141</v>
      </c>
      <c r="E205" t="s">
        <v>1142</v>
      </c>
      <c r="F205" t="s">
        <v>1143</v>
      </c>
      <c r="G205" t="s">
        <v>1144</v>
      </c>
      <c r="H205" t="s">
        <v>1145</v>
      </c>
      <c r="I205" t="s">
        <v>1146</v>
      </c>
      <c r="J205" t="s">
        <v>1147</v>
      </c>
      <c r="K205" t="s">
        <v>1148</v>
      </c>
      <c r="L205" t="s">
        <v>1149</v>
      </c>
      <c r="M205" t="s">
        <v>1150</v>
      </c>
      <c r="N205" t="s">
        <v>1151</v>
      </c>
      <c r="O205" t="s">
        <v>1152</v>
      </c>
      <c r="P205" t="s">
        <v>1153</v>
      </c>
      <c r="Q205" t="s">
        <v>1154</v>
      </c>
    </row>
    <row r="206" spans="1:17">
      <c r="A206" t="s">
        <v>1155</v>
      </c>
      <c r="B206" t="s">
        <v>3948</v>
      </c>
      <c r="C206" t="s">
        <v>3949</v>
      </c>
      <c r="D206" t="s">
        <v>3950</v>
      </c>
      <c r="E206" t="s">
        <v>3951</v>
      </c>
      <c r="F206" t="s">
        <v>3952</v>
      </c>
      <c r="G206" t="s">
        <v>3953</v>
      </c>
      <c r="H206" t="s">
        <v>3954</v>
      </c>
      <c r="I206" t="s">
        <v>3955</v>
      </c>
      <c r="J206" t="s">
        <v>34</v>
      </c>
      <c r="K206" t="s">
        <v>34</v>
      </c>
      <c r="L206" t="s">
        <v>34</v>
      </c>
      <c r="M206" t="s">
        <v>34</v>
      </c>
      <c r="N206" t="s">
        <v>34</v>
      </c>
      <c r="O206" t="s">
        <v>34</v>
      </c>
      <c r="P206" t="s">
        <v>34</v>
      </c>
      <c r="Q206" t="s">
        <v>34</v>
      </c>
    </row>
    <row r="208" spans="1:17">
      <c r="B208" t="s">
        <v>1156</v>
      </c>
      <c r="C208">
        <v>1</v>
      </c>
      <c r="D208">
        <v>16</v>
      </c>
      <c r="E208">
        <v>1</v>
      </c>
    </row>
    <row r="209" spans="1:65">
      <c r="B209" t="s">
        <v>63</v>
      </c>
      <c r="C209" t="s">
        <v>64</v>
      </c>
      <c r="D209" t="s">
        <v>65</v>
      </c>
      <c r="E209" t="s">
        <v>66</v>
      </c>
      <c r="F209" t="s">
        <v>67</v>
      </c>
      <c r="G209" t="s">
        <v>68</v>
      </c>
      <c r="H209" t="s">
        <v>69</v>
      </c>
      <c r="I209" t="s">
        <v>70</v>
      </c>
      <c r="J209" t="s">
        <v>71</v>
      </c>
      <c r="K209" t="s">
        <v>72</v>
      </c>
      <c r="L209" t="s">
        <v>73</v>
      </c>
      <c r="M209" t="s">
        <v>74</v>
      </c>
      <c r="N209" t="s">
        <v>75</v>
      </c>
      <c r="O209" t="s">
        <v>76</v>
      </c>
      <c r="P209" t="s">
        <v>77</v>
      </c>
      <c r="Q209" t="s">
        <v>78</v>
      </c>
      <c r="R209" t="s">
        <v>79</v>
      </c>
      <c r="S209" t="s">
        <v>80</v>
      </c>
      <c r="T209" t="s">
        <v>81</v>
      </c>
      <c r="U209" t="s">
        <v>82</v>
      </c>
      <c r="V209" t="s">
        <v>83</v>
      </c>
      <c r="W209" t="s">
        <v>84</v>
      </c>
      <c r="X209" t="s">
        <v>85</v>
      </c>
      <c r="Y209" t="s">
        <v>86</v>
      </c>
      <c r="Z209" t="s">
        <v>87</v>
      </c>
      <c r="AA209" t="s">
        <v>88</v>
      </c>
      <c r="AB209" t="s">
        <v>89</v>
      </c>
      <c r="AC209" t="s">
        <v>90</v>
      </c>
      <c r="AD209" t="s">
        <v>91</v>
      </c>
      <c r="AE209" t="s">
        <v>92</v>
      </c>
      <c r="AF209" t="s">
        <v>93</v>
      </c>
      <c r="AG209" t="s">
        <v>94</v>
      </c>
      <c r="AH209" t="s">
        <v>95</v>
      </c>
      <c r="AI209" t="s">
        <v>96</v>
      </c>
      <c r="AJ209" t="s">
        <v>97</v>
      </c>
      <c r="AK209" t="s">
        <v>98</v>
      </c>
      <c r="AL209" t="s">
        <v>99</v>
      </c>
      <c r="AM209" t="s">
        <v>100</v>
      </c>
      <c r="AN209" t="s">
        <v>101</v>
      </c>
      <c r="AO209" t="s">
        <v>102</v>
      </c>
      <c r="AP209" t="s">
        <v>103</v>
      </c>
      <c r="AQ209" t="s">
        <v>104</v>
      </c>
      <c r="AR209" t="s">
        <v>105</v>
      </c>
      <c r="AS209" t="s">
        <v>106</v>
      </c>
      <c r="AT209" t="s">
        <v>1157</v>
      </c>
      <c r="AU209" t="s">
        <v>1158</v>
      </c>
      <c r="AV209" t="s">
        <v>1159</v>
      </c>
      <c r="AW209" t="s">
        <v>1160</v>
      </c>
      <c r="AX209" t="s">
        <v>1161</v>
      </c>
      <c r="AY209" t="s">
        <v>1162</v>
      </c>
      <c r="AZ209" t="s">
        <v>1163</v>
      </c>
      <c r="BA209" t="s">
        <v>1164</v>
      </c>
      <c r="BB209" t="s">
        <v>1165</v>
      </c>
      <c r="BC209" t="s">
        <v>1166</v>
      </c>
      <c r="BD209" t="s">
        <v>1167</v>
      </c>
      <c r="BE209" t="s">
        <v>1168</v>
      </c>
      <c r="BF209" t="s">
        <v>1169</v>
      </c>
      <c r="BG209" t="s">
        <v>1170</v>
      </c>
      <c r="BH209" t="s">
        <v>1171</v>
      </c>
      <c r="BI209" t="s">
        <v>1172</v>
      </c>
      <c r="BJ209" t="s">
        <v>1173</v>
      </c>
      <c r="BK209" t="s">
        <v>1174</v>
      </c>
      <c r="BL209" t="s">
        <v>1175</v>
      </c>
      <c r="BM209" t="s">
        <v>1176</v>
      </c>
    </row>
    <row r="210" spans="1:65">
      <c r="A210" t="s">
        <v>1155</v>
      </c>
      <c r="B210" t="s">
        <v>1006</v>
      </c>
      <c r="C210" t="s">
        <v>34</v>
      </c>
      <c r="D210" t="s">
        <v>34</v>
      </c>
      <c r="E210" t="s">
        <v>3986</v>
      </c>
      <c r="F210" t="s">
        <v>3987</v>
      </c>
      <c r="G210" t="s">
        <v>1009</v>
      </c>
      <c r="H210" t="s">
        <v>1004</v>
      </c>
      <c r="I210" t="s">
        <v>34</v>
      </c>
      <c r="J210" t="s">
        <v>34</v>
      </c>
      <c r="K210" t="s">
        <v>3988</v>
      </c>
      <c r="L210" t="s">
        <v>3968</v>
      </c>
      <c r="M210" t="s">
        <v>1005</v>
      </c>
      <c r="N210" t="s">
        <v>34</v>
      </c>
      <c r="O210" t="s">
        <v>34</v>
      </c>
      <c r="P210" t="s">
        <v>1003</v>
      </c>
      <c r="Q210" t="s">
        <v>34</v>
      </c>
      <c r="R210" t="s">
        <v>34</v>
      </c>
      <c r="S210" t="s">
        <v>3989</v>
      </c>
      <c r="T210" t="s">
        <v>3969</v>
      </c>
      <c r="U210" t="s">
        <v>1011</v>
      </c>
      <c r="V210" t="s">
        <v>1007</v>
      </c>
      <c r="W210" t="s">
        <v>34</v>
      </c>
      <c r="X210" t="s">
        <v>34</v>
      </c>
      <c r="Y210" t="s">
        <v>3990</v>
      </c>
      <c r="Z210" t="s">
        <v>3991</v>
      </c>
      <c r="AA210" t="s">
        <v>1008</v>
      </c>
      <c r="AB210" t="s">
        <v>34</v>
      </c>
      <c r="AC210" t="s">
        <v>34</v>
      </c>
      <c r="AD210" t="s">
        <v>34</v>
      </c>
      <c r="AE210" t="s">
        <v>34</v>
      </c>
      <c r="AF210" t="s">
        <v>34</v>
      </c>
      <c r="AG210" t="s">
        <v>34</v>
      </c>
      <c r="AH210" t="s">
        <v>1032</v>
      </c>
      <c r="AI210" t="s">
        <v>1035</v>
      </c>
      <c r="AJ210" t="s">
        <v>1036</v>
      </c>
      <c r="AK210" t="s">
        <v>1010</v>
      </c>
      <c r="AL210" t="s">
        <v>1045</v>
      </c>
      <c r="AM210" t="s">
        <v>1048</v>
      </c>
      <c r="AN210" t="s">
        <v>1049</v>
      </c>
      <c r="AO210" t="s">
        <v>1012</v>
      </c>
      <c r="AP210" t="s">
        <v>34</v>
      </c>
      <c r="AQ210" t="s">
        <v>34</v>
      </c>
      <c r="AR210" t="s">
        <v>34</v>
      </c>
      <c r="AS210" t="s">
        <v>34</v>
      </c>
      <c r="AT210" t="s">
        <v>34</v>
      </c>
      <c r="AU210" t="s">
        <v>34</v>
      </c>
      <c r="AV210" t="s">
        <v>34</v>
      </c>
      <c r="AW210" t="s">
        <v>34</v>
      </c>
      <c r="AX210" t="s">
        <v>34</v>
      </c>
      <c r="AY210" t="s">
        <v>34</v>
      </c>
      <c r="AZ210" t="s">
        <v>34</v>
      </c>
      <c r="BA210" t="s">
        <v>34</v>
      </c>
      <c r="BB210" t="s">
        <v>34</v>
      </c>
      <c r="BC210" t="s">
        <v>34</v>
      </c>
      <c r="BD210" t="s">
        <v>34</v>
      </c>
      <c r="BE210" t="s">
        <v>34</v>
      </c>
      <c r="BF210" t="s">
        <v>34</v>
      </c>
      <c r="BG210" t="s">
        <v>34</v>
      </c>
      <c r="BH210" t="s">
        <v>34</v>
      </c>
      <c r="BI210" t="s">
        <v>34</v>
      </c>
      <c r="BJ210" t="s">
        <v>34</v>
      </c>
      <c r="BK210" t="s">
        <v>34</v>
      </c>
      <c r="BL210" t="s">
        <v>34</v>
      </c>
      <c r="BM210" t="s">
        <v>34</v>
      </c>
    </row>
    <row r="212" spans="1:65">
      <c r="B212" t="s">
        <v>1177</v>
      </c>
      <c r="C212">
        <v>8</v>
      </c>
      <c r="D212">
        <v>8</v>
      </c>
      <c r="E212">
        <v>1</v>
      </c>
    </row>
    <row r="213" spans="1:65">
      <c r="B213" t="s">
        <v>1178</v>
      </c>
      <c r="C213" t="s">
        <v>1179</v>
      </c>
      <c r="D213" t="s">
        <v>1180</v>
      </c>
      <c r="E213" t="s">
        <v>1181</v>
      </c>
      <c r="F213" t="s">
        <v>1182</v>
      </c>
      <c r="G213" t="s">
        <v>1183</v>
      </c>
      <c r="H213" t="s">
        <v>1184</v>
      </c>
      <c r="I213" t="s">
        <v>1185</v>
      </c>
    </row>
    <row r="214" spans="1:65">
      <c r="A214" t="s">
        <v>1186</v>
      </c>
      <c r="B214">
        <v>2</v>
      </c>
      <c r="C214">
        <v>6</v>
      </c>
      <c r="D214">
        <v>15</v>
      </c>
      <c r="E214">
        <v>189</v>
      </c>
      <c r="F214">
        <v>130</v>
      </c>
      <c r="G214">
        <v>32</v>
      </c>
      <c r="H214">
        <v>33</v>
      </c>
      <c r="I214">
        <v>41</v>
      </c>
    </row>
    <row r="215" spans="1:65">
      <c r="A215" t="s">
        <v>1187</v>
      </c>
      <c r="B215">
        <v>16</v>
      </c>
      <c r="C215">
        <v>20</v>
      </c>
      <c r="D215">
        <v>1</v>
      </c>
      <c r="E215">
        <v>189</v>
      </c>
      <c r="F215">
        <v>134</v>
      </c>
      <c r="G215">
        <v>5</v>
      </c>
      <c r="H215">
        <v>34</v>
      </c>
      <c r="I215">
        <v>42</v>
      </c>
    </row>
    <row r="216" spans="1:65">
      <c r="A216" t="s">
        <v>1188</v>
      </c>
      <c r="B216">
        <v>8</v>
      </c>
      <c r="C216">
        <v>12</v>
      </c>
      <c r="D216">
        <v>21</v>
      </c>
      <c r="E216">
        <v>189</v>
      </c>
      <c r="F216">
        <v>132</v>
      </c>
      <c r="G216">
        <v>19</v>
      </c>
      <c r="H216">
        <v>35</v>
      </c>
      <c r="I216">
        <v>43</v>
      </c>
    </row>
    <row r="217" spans="1:65">
      <c r="A217" t="s">
        <v>1189</v>
      </c>
      <c r="B217">
        <v>22</v>
      </c>
      <c r="C217">
        <v>26</v>
      </c>
      <c r="D217">
        <v>7</v>
      </c>
      <c r="E217">
        <v>189</v>
      </c>
      <c r="F217">
        <v>136</v>
      </c>
      <c r="G217">
        <v>11</v>
      </c>
      <c r="H217">
        <v>36</v>
      </c>
      <c r="I217">
        <v>44</v>
      </c>
    </row>
    <row r="218" spans="1:65">
      <c r="A218" t="s">
        <v>1190</v>
      </c>
      <c r="B218">
        <v>3</v>
      </c>
      <c r="C218">
        <v>198</v>
      </c>
      <c r="D218">
        <v>27</v>
      </c>
      <c r="E218">
        <v>4</v>
      </c>
      <c r="F218">
        <v>200</v>
      </c>
      <c r="G218">
        <v>25</v>
      </c>
      <c r="H218">
        <v>37</v>
      </c>
      <c r="I218">
        <v>189</v>
      </c>
    </row>
    <row r="219" spans="1:65">
      <c r="A219" t="s">
        <v>1191</v>
      </c>
      <c r="B219">
        <v>17</v>
      </c>
      <c r="C219">
        <v>199</v>
      </c>
      <c r="D219">
        <v>13</v>
      </c>
      <c r="E219">
        <v>18</v>
      </c>
      <c r="F219">
        <v>201</v>
      </c>
      <c r="G219">
        <v>29</v>
      </c>
      <c r="H219">
        <v>38</v>
      </c>
      <c r="I219">
        <v>189</v>
      </c>
    </row>
    <row r="220" spans="1:65">
      <c r="A220" t="s">
        <v>1192</v>
      </c>
      <c r="B220">
        <v>9</v>
      </c>
      <c r="C220">
        <v>30</v>
      </c>
      <c r="D220">
        <v>28</v>
      </c>
      <c r="E220">
        <v>10</v>
      </c>
      <c r="F220">
        <v>202</v>
      </c>
      <c r="G220">
        <v>208</v>
      </c>
      <c r="H220">
        <v>39</v>
      </c>
      <c r="I220">
        <v>189</v>
      </c>
    </row>
    <row r="221" spans="1:65">
      <c r="A221" t="s">
        <v>1193</v>
      </c>
      <c r="B221">
        <v>23</v>
      </c>
      <c r="C221">
        <v>31</v>
      </c>
      <c r="D221">
        <v>14</v>
      </c>
      <c r="E221">
        <v>24</v>
      </c>
      <c r="F221">
        <v>203</v>
      </c>
      <c r="G221">
        <v>207</v>
      </c>
      <c r="H221">
        <v>40</v>
      </c>
      <c r="I221">
        <v>189</v>
      </c>
    </row>
    <row r="223" spans="1:65">
      <c r="B223" t="s">
        <v>1194</v>
      </c>
      <c r="C223">
        <v>8</v>
      </c>
      <c r="D223">
        <v>8</v>
      </c>
      <c r="E223">
        <v>1</v>
      </c>
    </row>
    <row r="224" spans="1:65">
      <c r="B224" t="s">
        <v>1178</v>
      </c>
      <c r="C224" t="s">
        <v>1179</v>
      </c>
      <c r="D224" t="s">
        <v>1180</v>
      </c>
      <c r="E224" t="s">
        <v>1181</v>
      </c>
      <c r="F224" t="s">
        <v>1182</v>
      </c>
      <c r="G224" t="s">
        <v>1183</v>
      </c>
      <c r="H224" t="s">
        <v>1184</v>
      </c>
      <c r="I224" t="s">
        <v>1185</v>
      </c>
    </row>
    <row r="225" spans="1:101">
      <c r="A225" t="s">
        <v>1186</v>
      </c>
      <c r="B225">
        <v>14</v>
      </c>
      <c r="C225">
        <v>13</v>
      </c>
      <c r="D225">
        <v>16</v>
      </c>
      <c r="E225">
        <v>15</v>
      </c>
      <c r="F225">
        <v>37</v>
      </c>
      <c r="G225">
        <v>18</v>
      </c>
      <c r="H225">
        <v>17</v>
      </c>
      <c r="I225">
        <v>115</v>
      </c>
    </row>
    <row r="226" spans="1:101">
      <c r="A226" t="s">
        <v>1187</v>
      </c>
      <c r="B226">
        <v>62</v>
      </c>
      <c r="C226">
        <v>61</v>
      </c>
      <c r="D226">
        <v>64</v>
      </c>
      <c r="E226">
        <v>63</v>
      </c>
      <c r="F226">
        <v>39</v>
      </c>
      <c r="G226">
        <v>66</v>
      </c>
      <c r="H226">
        <v>65</v>
      </c>
      <c r="I226">
        <v>115</v>
      </c>
    </row>
    <row r="227" spans="1:101">
      <c r="A227" t="s">
        <v>1188</v>
      </c>
      <c r="B227">
        <v>4</v>
      </c>
      <c r="C227">
        <v>2</v>
      </c>
      <c r="D227">
        <v>8</v>
      </c>
      <c r="E227">
        <v>6</v>
      </c>
      <c r="F227">
        <v>38</v>
      </c>
      <c r="G227">
        <v>12</v>
      </c>
      <c r="H227">
        <v>10</v>
      </c>
      <c r="I227">
        <v>115</v>
      </c>
    </row>
    <row r="228" spans="1:101">
      <c r="A228" t="s">
        <v>1189</v>
      </c>
      <c r="B228">
        <v>28</v>
      </c>
      <c r="C228">
        <v>26</v>
      </c>
      <c r="D228">
        <v>32</v>
      </c>
      <c r="E228">
        <v>30</v>
      </c>
      <c r="F228">
        <v>40</v>
      </c>
      <c r="G228">
        <v>36</v>
      </c>
      <c r="H228">
        <v>34</v>
      </c>
      <c r="I228">
        <v>115</v>
      </c>
    </row>
    <row r="229" spans="1:101">
      <c r="A229" t="s">
        <v>1190</v>
      </c>
      <c r="B229">
        <v>52</v>
      </c>
      <c r="C229">
        <v>50</v>
      </c>
      <c r="D229">
        <v>56</v>
      </c>
      <c r="E229">
        <v>54</v>
      </c>
      <c r="F229">
        <v>42</v>
      </c>
      <c r="G229">
        <v>60</v>
      </c>
      <c r="H229">
        <v>58</v>
      </c>
      <c r="I229">
        <v>115</v>
      </c>
    </row>
    <row r="230" spans="1:101">
      <c r="A230" t="s">
        <v>1191</v>
      </c>
      <c r="B230">
        <v>3</v>
      </c>
      <c r="C230">
        <v>1</v>
      </c>
      <c r="D230">
        <v>7</v>
      </c>
      <c r="E230">
        <v>5</v>
      </c>
      <c r="F230">
        <v>41</v>
      </c>
      <c r="G230">
        <v>11</v>
      </c>
      <c r="H230">
        <v>9</v>
      </c>
      <c r="I230">
        <v>115</v>
      </c>
    </row>
    <row r="231" spans="1:101">
      <c r="A231" t="s">
        <v>1192</v>
      </c>
      <c r="B231">
        <v>27</v>
      </c>
      <c r="C231">
        <v>25</v>
      </c>
      <c r="D231">
        <v>31</v>
      </c>
      <c r="E231">
        <v>29</v>
      </c>
      <c r="F231">
        <v>115</v>
      </c>
      <c r="G231">
        <v>35</v>
      </c>
      <c r="H231">
        <v>33</v>
      </c>
      <c r="I231">
        <v>115</v>
      </c>
    </row>
    <row r="232" spans="1:101">
      <c r="A232" t="s">
        <v>1193</v>
      </c>
      <c r="B232">
        <v>51</v>
      </c>
      <c r="C232">
        <v>49</v>
      </c>
      <c r="D232">
        <v>55</v>
      </c>
      <c r="E232">
        <v>53</v>
      </c>
      <c r="F232">
        <v>114</v>
      </c>
      <c r="G232">
        <v>59</v>
      </c>
      <c r="H232">
        <v>57</v>
      </c>
      <c r="I232">
        <v>115</v>
      </c>
    </row>
    <row r="234" spans="1:101">
      <c r="B234" t="s">
        <v>1195</v>
      </c>
      <c r="C234">
        <v>14</v>
      </c>
      <c r="D234">
        <v>100</v>
      </c>
      <c r="E234">
        <v>1</v>
      </c>
    </row>
    <row r="235" spans="1:101">
      <c r="B235" t="s">
        <v>1196</v>
      </c>
      <c r="C235" t="s">
        <v>1197</v>
      </c>
      <c r="D235" t="s">
        <v>1198</v>
      </c>
      <c r="E235" t="s">
        <v>1199</v>
      </c>
      <c r="F235" t="s">
        <v>1200</v>
      </c>
      <c r="G235" t="s">
        <v>1201</v>
      </c>
      <c r="H235" t="s">
        <v>1202</v>
      </c>
      <c r="I235" t="s">
        <v>1203</v>
      </c>
      <c r="J235" t="s">
        <v>1204</v>
      </c>
      <c r="K235" t="s">
        <v>1205</v>
      </c>
      <c r="L235" t="s">
        <v>1206</v>
      </c>
      <c r="M235" t="s">
        <v>1207</v>
      </c>
      <c r="N235" t="s">
        <v>1208</v>
      </c>
      <c r="O235" t="s">
        <v>1209</v>
      </c>
      <c r="P235" t="s">
        <v>1210</v>
      </c>
      <c r="Q235" t="s">
        <v>1211</v>
      </c>
      <c r="R235" t="s">
        <v>1212</v>
      </c>
      <c r="S235" t="s">
        <v>1213</v>
      </c>
      <c r="T235" t="s">
        <v>1214</v>
      </c>
      <c r="U235" t="s">
        <v>1215</v>
      </c>
      <c r="V235" t="s">
        <v>1216</v>
      </c>
      <c r="W235" t="s">
        <v>1217</v>
      </c>
      <c r="X235" t="s">
        <v>1218</v>
      </c>
      <c r="Y235" t="s">
        <v>1219</v>
      </c>
      <c r="Z235" t="s">
        <v>1220</v>
      </c>
      <c r="AA235" t="s">
        <v>1221</v>
      </c>
      <c r="AB235" t="s">
        <v>1222</v>
      </c>
      <c r="AC235" t="s">
        <v>1223</v>
      </c>
      <c r="AD235" t="s">
        <v>1224</v>
      </c>
      <c r="AE235" t="s">
        <v>1225</v>
      </c>
      <c r="AF235" t="s">
        <v>1226</v>
      </c>
      <c r="AG235" t="s">
        <v>1227</v>
      </c>
      <c r="AH235" t="s">
        <v>1228</v>
      </c>
      <c r="AI235" t="s">
        <v>1229</v>
      </c>
      <c r="AJ235" t="s">
        <v>1230</v>
      </c>
      <c r="AK235" t="s">
        <v>1231</v>
      </c>
      <c r="AL235" t="s">
        <v>1232</v>
      </c>
      <c r="AM235" t="s">
        <v>1233</v>
      </c>
      <c r="AN235" t="s">
        <v>1234</v>
      </c>
      <c r="AO235" t="s">
        <v>1235</v>
      </c>
      <c r="AP235" t="s">
        <v>1236</v>
      </c>
      <c r="AQ235" t="s">
        <v>1237</v>
      </c>
      <c r="AR235" t="s">
        <v>1238</v>
      </c>
      <c r="AS235" t="s">
        <v>1239</v>
      </c>
      <c r="AT235" t="s">
        <v>1240</v>
      </c>
      <c r="AU235" t="s">
        <v>1241</v>
      </c>
      <c r="AV235" t="s">
        <v>1242</v>
      </c>
      <c r="AW235" t="s">
        <v>1243</v>
      </c>
      <c r="AX235" t="s">
        <v>1244</v>
      </c>
      <c r="AY235" t="s">
        <v>1245</v>
      </c>
      <c r="AZ235" t="s">
        <v>1246</v>
      </c>
      <c r="BA235" t="s">
        <v>1247</v>
      </c>
      <c r="BB235" t="s">
        <v>1248</v>
      </c>
      <c r="BC235" t="s">
        <v>1249</v>
      </c>
      <c r="BD235" t="s">
        <v>1250</v>
      </c>
      <c r="BE235" t="s">
        <v>1251</v>
      </c>
      <c r="BF235" t="s">
        <v>1252</v>
      </c>
      <c r="BG235" t="s">
        <v>1253</v>
      </c>
      <c r="BH235" t="s">
        <v>1254</v>
      </c>
      <c r="BI235" t="s">
        <v>1255</v>
      </c>
      <c r="BJ235" t="s">
        <v>1256</v>
      </c>
      <c r="BK235" t="s">
        <v>1257</v>
      </c>
      <c r="BL235" t="s">
        <v>1258</v>
      </c>
      <c r="BM235" t="s">
        <v>1259</v>
      </c>
      <c r="BN235" t="s">
        <v>1260</v>
      </c>
      <c r="BO235" t="s">
        <v>1261</v>
      </c>
      <c r="BP235" t="s">
        <v>1262</v>
      </c>
      <c r="BQ235" t="s">
        <v>1263</v>
      </c>
      <c r="BR235" t="s">
        <v>1264</v>
      </c>
      <c r="BS235" t="s">
        <v>1265</v>
      </c>
      <c r="BT235" t="s">
        <v>1266</v>
      </c>
      <c r="BU235" t="s">
        <v>1267</v>
      </c>
      <c r="BV235" t="s">
        <v>1268</v>
      </c>
      <c r="BW235" t="s">
        <v>1269</v>
      </c>
      <c r="BX235" t="s">
        <v>1270</v>
      </c>
      <c r="BY235" t="s">
        <v>1271</v>
      </c>
      <c r="BZ235" t="s">
        <v>1272</v>
      </c>
      <c r="CA235" t="s">
        <v>1273</v>
      </c>
      <c r="CB235" t="s">
        <v>1274</v>
      </c>
      <c r="CC235" t="s">
        <v>1275</v>
      </c>
      <c r="CD235" t="s">
        <v>1276</v>
      </c>
      <c r="CE235" t="s">
        <v>1277</v>
      </c>
      <c r="CF235" t="s">
        <v>1278</v>
      </c>
      <c r="CG235" t="s">
        <v>1279</v>
      </c>
      <c r="CH235" t="s">
        <v>1280</v>
      </c>
      <c r="CI235" t="s">
        <v>1281</v>
      </c>
      <c r="CJ235" t="s">
        <v>1282</v>
      </c>
      <c r="CK235" t="s">
        <v>1283</v>
      </c>
      <c r="CL235" t="s">
        <v>1284</v>
      </c>
      <c r="CM235" t="s">
        <v>1285</v>
      </c>
      <c r="CN235" t="s">
        <v>1286</v>
      </c>
      <c r="CO235" t="s">
        <v>1287</v>
      </c>
      <c r="CP235" t="s">
        <v>1288</v>
      </c>
      <c r="CQ235" t="s">
        <v>1289</v>
      </c>
      <c r="CR235" t="s">
        <v>1290</v>
      </c>
      <c r="CS235" t="s">
        <v>1291</v>
      </c>
      <c r="CT235" t="s">
        <v>1292</v>
      </c>
      <c r="CU235" t="s">
        <v>1293</v>
      </c>
      <c r="CV235" t="s">
        <v>1294</v>
      </c>
      <c r="CW235" t="s">
        <v>1295</v>
      </c>
    </row>
    <row r="236" spans="1:101">
      <c r="A236" t="s">
        <v>1296</v>
      </c>
      <c r="B236" t="str">
        <f t="shared" ref="B236:K238" si="0">"Off"</f>
        <v>Off</v>
      </c>
      <c r="C236" t="str">
        <f t="shared" si="0"/>
        <v>Off</v>
      </c>
      <c r="D236" t="str">
        <f t="shared" si="0"/>
        <v>Off</v>
      </c>
      <c r="E236" t="str">
        <f t="shared" si="0"/>
        <v>Off</v>
      </c>
      <c r="F236" t="str">
        <f t="shared" si="0"/>
        <v>Off</v>
      </c>
      <c r="G236" t="str">
        <f t="shared" si="0"/>
        <v>Off</v>
      </c>
      <c r="H236" t="str">
        <f t="shared" si="0"/>
        <v>Off</v>
      </c>
      <c r="I236" t="str">
        <f t="shared" si="0"/>
        <v>Off</v>
      </c>
      <c r="J236" t="str">
        <f t="shared" si="0"/>
        <v>Off</v>
      </c>
      <c r="K236" t="str">
        <f t="shared" si="0"/>
        <v>Off</v>
      </c>
      <c r="L236" t="str">
        <f t="shared" ref="L236:U238" si="1">"Off"</f>
        <v>Off</v>
      </c>
      <c r="M236" t="str">
        <f t="shared" si="1"/>
        <v>Off</v>
      </c>
      <c r="N236" t="str">
        <f t="shared" si="1"/>
        <v>Off</v>
      </c>
      <c r="O236" t="str">
        <f t="shared" si="1"/>
        <v>Off</v>
      </c>
      <c r="P236" t="str">
        <f t="shared" si="1"/>
        <v>Off</v>
      </c>
      <c r="Q236" t="str">
        <f t="shared" si="1"/>
        <v>Off</v>
      </c>
      <c r="R236" t="str">
        <f t="shared" si="1"/>
        <v>Off</v>
      </c>
      <c r="S236" t="str">
        <f t="shared" si="1"/>
        <v>Off</v>
      </c>
      <c r="T236" t="str">
        <f t="shared" si="1"/>
        <v>Off</v>
      </c>
      <c r="U236" t="str">
        <f t="shared" si="1"/>
        <v>Off</v>
      </c>
      <c r="V236" t="str">
        <f t="shared" ref="V236:AE238" si="2">"Off"</f>
        <v>Off</v>
      </c>
      <c r="W236" t="str">
        <f t="shared" si="2"/>
        <v>Off</v>
      </c>
      <c r="X236" t="str">
        <f t="shared" si="2"/>
        <v>Off</v>
      </c>
      <c r="Y236" t="str">
        <f t="shared" si="2"/>
        <v>Off</v>
      </c>
      <c r="Z236" t="str">
        <f t="shared" si="2"/>
        <v>Off</v>
      </c>
      <c r="AA236" t="str">
        <f t="shared" si="2"/>
        <v>Off</v>
      </c>
      <c r="AB236" t="str">
        <f t="shared" si="2"/>
        <v>Off</v>
      </c>
      <c r="AC236" t="str">
        <f t="shared" si="2"/>
        <v>Off</v>
      </c>
      <c r="AD236" t="str">
        <f t="shared" si="2"/>
        <v>Off</v>
      </c>
      <c r="AE236" t="str">
        <f t="shared" si="2"/>
        <v>Off</v>
      </c>
      <c r="AF236" t="str">
        <f t="shared" ref="AF236:AO238" si="3">"Off"</f>
        <v>Off</v>
      </c>
      <c r="AG236" t="str">
        <f t="shared" si="3"/>
        <v>Off</v>
      </c>
      <c r="AH236" t="str">
        <f t="shared" si="3"/>
        <v>Off</v>
      </c>
      <c r="AI236" t="str">
        <f t="shared" si="3"/>
        <v>Off</v>
      </c>
      <c r="AJ236" t="str">
        <f t="shared" si="3"/>
        <v>Off</v>
      </c>
      <c r="AK236" t="str">
        <f t="shared" si="3"/>
        <v>Off</v>
      </c>
      <c r="AL236" t="str">
        <f t="shared" si="3"/>
        <v>Off</v>
      </c>
      <c r="AM236" t="str">
        <f t="shared" si="3"/>
        <v>Off</v>
      </c>
      <c r="AN236" t="str">
        <f t="shared" si="3"/>
        <v>Off</v>
      </c>
      <c r="AO236" t="str">
        <f t="shared" si="3"/>
        <v>Off</v>
      </c>
      <c r="AP236" t="str">
        <f t="shared" ref="AP236:AY238" si="4">"Off"</f>
        <v>Off</v>
      </c>
      <c r="AQ236" t="str">
        <f t="shared" si="4"/>
        <v>Off</v>
      </c>
      <c r="AR236" t="str">
        <f t="shared" si="4"/>
        <v>Off</v>
      </c>
      <c r="AS236" t="str">
        <f t="shared" si="4"/>
        <v>Off</v>
      </c>
      <c r="AT236" t="str">
        <f t="shared" si="4"/>
        <v>Off</v>
      </c>
      <c r="AU236" t="str">
        <f t="shared" si="4"/>
        <v>Off</v>
      </c>
      <c r="AV236" t="str">
        <f t="shared" si="4"/>
        <v>Off</v>
      </c>
      <c r="AW236" t="str">
        <f t="shared" si="4"/>
        <v>Off</v>
      </c>
      <c r="AX236" t="str">
        <f t="shared" si="4"/>
        <v>Off</v>
      </c>
      <c r="AY236" t="str">
        <f t="shared" si="4"/>
        <v>Off</v>
      </c>
      <c r="AZ236" t="str">
        <f t="shared" ref="AZ236:BI238" si="5">"Off"</f>
        <v>Off</v>
      </c>
      <c r="BA236" t="str">
        <f t="shared" si="5"/>
        <v>Off</v>
      </c>
      <c r="BB236" t="str">
        <f t="shared" si="5"/>
        <v>Off</v>
      </c>
      <c r="BC236" t="str">
        <f t="shared" si="5"/>
        <v>Off</v>
      </c>
      <c r="BD236" t="str">
        <f t="shared" si="5"/>
        <v>Off</v>
      </c>
      <c r="BE236" t="str">
        <f t="shared" si="5"/>
        <v>Off</v>
      </c>
      <c r="BF236" t="str">
        <f t="shared" si="5"/>
        <v>Off</v>
      </c>
      <c r="BG236" t="str">
        <f t="shared" si="5"/>
        <v>Off</v>
      </c>
      <c r="BH236" t="str">
        <f t="shared" si="5"/>
        <v>Off</v>
      </c>
      <c r="BI236" t="str">
        <f t="shared" si="5"/>
        <v>Off</v>
      </c>
      <c r="BJ236" t="str">
        <f t="shared" ref="BJ236:BS238" si="6">"Off"</f>
        <v>Off</v>
      </c>
      <c r="BK236" t="str">
        <f t="shared" si="6"/>
        <v>Off</v>
      </c>
      <c r="BL236" t="str">
        <f t="shared" si="6"/>
        <v>Off</v>
      </c>
      <c r="BM236" t="str">
        <f t="shared" si="6"/>
        <v>Off</v>
      </c>
      <c r="BN236" t="str">
        <f t="shared" si="6"/>
        <v>Off</v>
      </c>
      <c r="BO236" t="str">
        <f t="shared" si="6"/>
        <v>Off</v>
      </c>
      <c r="BP236" t="str">
        <f t="shared" si="6"/>
        <v>Off</v>
      </c>
      <c r="BQ236" t="str">
        <f t="shared" si="6"/>
        <v>Off</v>
      </c>
      <c r="BR236" t="str">
        <f t="shared" si="6"/>
        <v>Off</v>
      </c>
      <c r="BS236" t="str">
        <f t="shared" si="6"/>
        <v>Off</v>
      </c>
      <c r="BT236" t="str">
        <f t="shared" ref="BT236:CC238" si="7">"Off"</f>
        <v>Off</v>
      </c>
      <c r="BU236" t="str">
        <f t="shared" si="7"/>
        <v>Off</v>
      </c>
      <c r="BV236" t="str">
        <f t="shared" si="7"/>
        <v>Off</v>
      </c>
      <c r="BW236" t="str">
        <f t="shared" si="7"/>
        <v>Off</v>
      </c>
      <c r="BX236" t="str">
        <f t="shared" si="7"/>
        <v>Off</v>
      </c>
      <c r="BY236" t="str">
        <f t="shared" si="7"/>
        <v>Off</v>
      </c>
      <c r="BZ236" t="str">
        <f t="shared" si="7"/>
        <v>Off</v>
      </c>
      <c r="CA236" t="str">
        <f t="shared" si="7"/>
        <v>Off</v>
      </c>
      <c r="CB236" t="str">
        <f t="shared" si="7"/>
        <v>Off</v>
      </c>
      <c r="CC236" t="str">
        <f t="shared" si="7"/>
        <v>Off</v>
      </c>
      <c r="CD236" t="str">
        <f t="shared" ref="CD236:CM238" si="8">"Off"</f>
        <v>Off</v>
      </c>
      <c r="CE236" t="str">
        <f t="shared" si="8"/>
        <v>Off</v>
      </c>
      <c r="CF236" t="str">
        <f t="shared" si="8"/>
        <v>Off</v>
      </c>
      <c r="CG236" t="str">
        <f t="shared" si="8"/>
        <v>Off</v>
      </c>
      <c r="CH236" t="str">
        <f t="shared" si="8"/>
        <v>Off</v>
      </c>
      <c r="CI236" t="str">
        <f t="shared" si="8"/>
        <v>Off</v>
      </c>
      <c r="CJ236" t="str">
        <f t="shared" si="8"/>
        <v>Off</v>
      </c>
      <c r="CK236" t="str">
        <f t="shared" si="8"/>
        <v>Off</v>
      </c>
      <c r="CL236" t="str">
        <f t="shared" si="8"/>
        <v>Off</v>
      </c>
      <c r="CM236" t="str">
        <f t="shared" si="8"/>
        <v>Off</v>
      </c>
      <c r="CN236" t="str">
        <f t="shared" ref="CN236:CW238" si="9">"Off"</f>
        <v>Off</v>
      </c>
      <c r="CO236" t="str">
        <f t="shared" si="9"/>
        <v>Off</v>
      </c>
      <c r="CP236" t="str">
        <f t="shared" si="9"/>
        <v>Off</v>
      </c>
      <c r="CQ236" t="str">
        <f t="shared" si="9"/>
        <v>Off</v>
      </c>
      <c r="CR236" t="str">
        <f t="shared" si="9"/>
        <v>Off</v>
      </c>
      <c r="CS236" t="str">
        <f t="shared" si="9"/>
        <v>Off</v>
      </c>
      <c r="CT236" t="str">
        <f t="shared" si="9"/>
        <v>Off</v>
      </c>
      <c r="CU236" t="str">
        <f t="shared" si="9"/>
        <v>Off</v>
      </c>
      <c r="CV236" t="str">
        <f t="shared" si="9"/>
        <v>Off</v>
      </c>
      <c r="CW236" t="str">
        <f t="shared" si="9"/>
        <v>Off</v>
      </c>
    </row>
    <row r="237" spans="1:101">
      <c r="A237" t="s">
        <v>1297</v>
      </c>
      <c r="B237" t="str">
        <f t="shared" si="0"/>
        <v>Off</v>
      </c>
      <c r="C237" t="str">
        <f t="shared" si="0"/>
        <v>Off</v>
      </c>
      <c r="D237" t="str">
        <f t="shared" si="0"/>
        <v>Off</v>
      </c>
      <c r="E237" t="str">
        <f t="shared" si="0"/>
        <v>Off</v>
      </c>
      <c r="F237" t="str">
        <f t="shared" si="0"/>
        <v>Off</v>
      </c>
      <c r="G237" t="str">
        <f t="shared" si="0"/>
        <v>Off</v>
      </c>
      <c r="H237" t="str">
        <f t="shared" si="0"/>
        <v>Off</v>
      </c>
      <c r="I237" t="str">
        <f t="shared" si="0"/>
        <v>Off</v>
      </c>
      <c r="J237" t="str">
        <f t="shared" si="0"/>
        <v>Off</v>
      </c>
      <c r="K237" t="str">
        <f t="shared" si="0"/>
        <v>Off</v>
      </c>
      <c r="L237" t="str">
        <f t="shared" si="1"/>
        <v>Off</v>
      </c>
      <c r="M237" t="str">
        <f t="shared" si="1"/>
        <v>Off</v>
      </c>
      <c r="N237" t="str">
        <f t="shared" si="1"/>
        <v>Off</v>
      </c>
      <c r="O237" t="str">
        <f t="shared" si="1"/>
        <v>Off</v>
      </c>
      <c r="P237" t="str">
        <f t="shared" si="1"/>
        <v>Off</v>
      </c>
      <c r="Q237" t="str">
        <f t="shared" si="1"/>
        <v>Off</v>
      </c>
      <c r="R237" t="str">
        <f t="shared" si="1"/>
        <v>Off</v>
      </c>
      <c r="S237" t="str">
        <f t="shared" si="1"/>
        <v>Off</v>
      </c>
      <c r="T237" t="str">
        <f t="shared" si="1"/>
        <v>Off</v>
      </c>
      <c r="U237" t="str">
        <f t="shared" si="1"/>
        <v>Off</v>
      </c>
      <c r="V237" t="str">
        <f t="shared" si="2"/>
        <v>Off</v>
      </c>
      <c r="W237" t="str">
        <f t="shared" si="2"/>
        <v>Off</v>
      </c>
      <c r="X237" t="str">
        <f t="shared" si="2"/>
        <v>Off</v>
      </c>
      <c r="Y237" t="str">
        <f t="shared" si="2"/>
        <v>Off</v>
      </c>
      <c r="Z237" t="str">
        <f t="shared" si="2"/>
        <v>Off</v>
      </c>
      <c r="AA237" t="str">
        <f t="shared" si="2"/>
        <v>Off</v>
      </c>
      <c r="AB237" t="str">
        <f t="shared" si="2"/>
        <v>Off</v>
      </c>
      <c r="AC237" t="str">
        <f t="shared" si="2"/>
        <v>Off</v>
      </c>
      <c r="AD237" t="str">
        <f t="shared" si="2"/>
        <v>Off</v>
      </c>
      <c r="AE237" t="str">
        <f t="shared" si="2"/>
        <v>Off</v>
      </c>
      <c r="AF237" t="str">
        <f t="shared" si="3"/>
        <v>Off</v>
      </c>
      <c r="AG237" t="str">
        <f t="shared" si="3"/>
        <v>Off</v>
      </c>
      <c r="AH237" t="str">
        <f t="shared" si="3"/>
        <v>Off</v>
      </c>
      <c r="AI237" t="str">
        <f t="shared" si="3"/>
        <v>Off</v>
      </c>
      <c r="AJ237" t="str">
        <f t="shared" si="3"/>
        <v>Off</v>
      </c>
      <c r="AK237" t="str">
        <f t="shared" si="3"/>
        <v>Off</v>
      </c>
      <c r="AL237" t="str">
        <f t="shared" si="3"/>
        <v>Off</v>
      </c>
      <c r="AM237" t="str">
        <f t="shared" si="3"/>
        <v>Off</v>
      </c>
      <c r="AN237" t="str">
        <f t="shared" si="3"/>
        <v>Off</v>
      </c>
      <c r="AO237" t="str">
        <f t="shared" si="3"/>
        <v>Off</v>
      </c>
      <c r="AP237" t="str">
        <f t="shared" si="4"/>
        <v>Off</v>
      </c>
      <c r="AQ237" t="str">
        <f t="shared" si="4"/>
        <v>Off</v>
      </c>
      <c r="AR237" t="str">
        <f t="shared" si="4"/>
        <v>Off</v>
      </c>
      <c r="AS237" t="str">
        <f t="shared" si="4"/>
        <v>Off</v>
      </c>
      <c r="AT237" t="str">
        <f t="shared" si="4"/>
        <v>Off</v>
      </c>
      <c r="AU237" t="str">
        <f t="shared" si="4"/>
        <v>Off</v>
      </c>
      <c r="AV237" t="str">
        <f t="shared" si="4"/>
        <v>Off</v>
      </c>
      <c r="AW237" t="str">
        <f t="shared" si="4"/>
        <v>Off</v>
      </c>
      <c r="AX237" t="str">
        <f t="shared" si="4"/>
        <v>Off</v>
      </c>
      <c r="AY237" t="str">
        <f t="shared" si="4"/>
        <v>Off</v>
      </c>
      <c r="AZ237" t="str">
        <f t="shared" si="5"/>
        <v>Off</v>
      </c>
      <c r="BA237" t="str">
        <f t="shared" si="5"/>
        <v>Off</v>
      </c>
      <c r="BB237" t="str">
        <f t="shared" si="5"/>
        <v>Off</v>
      </c>
      <c r="BC237" t="str">
        <f t="shared" si="5"/>
        <v>Off</v>
      </c>
      <c r="BD237" t="str">
        <f t="shared" si="5"/>
        <v>Off</v>
      </c>
      <c r="BE237" t="str">
        <f t="shared" si="5"/>
        <v>Off</v>
      </c>
      <c r="BF237" t="str">
        <f t="shared" si="5"/>
        <v>Off</v>
      </c>
      <c r="BG237" t="str">
        <f t="shared" si="5"/>
        <v>Off</v>
      </c>
      <c r="BH237" t="str">
        <f t="shared" si="5"/>
        <v>Off</v>
      </c>
      <c r="BI237" t="str">
        <f t="shared" si="5"/>
        <v>Off</v>
      </c>
      <c r="BJ237" t="str">
        <f t="shared" si="6"/>
        <v>Off</v>
      </c>
      <c r="BK237" t="str">
        <f t="shared" si="6"/>
        <v>Off</v>
      </c>
      <c r="BL237" t="str">
        <f t="shared" si="6"/>
        <v>Off</v>
      </c>
      <c r="BM237" t="str">
        <f t="shared" si="6"/>
        <v>Off</v>
      </c>
      <c r="BN237" t="str">
        <f t="shared" si="6"/>
        <v>Off</v>
      </c>
      <c r="BO237" t="str">
        <f t="shared" si="6"/>
        <v>Off</v>
      </c>
      <c r="BP237" t="str">
        <f t="shared" si="6"/>
        <v>Off</v>
      </c>
      <c r="BQ237" t="str">
        <f t="shared" si="6"/>
        <v>Off</v>
      </c>
      <c r="BR237" t="str">
        <f t="shared" si="6"/>
        <v>Off</v>
      </c>
      <c r="BS237" t="str">
        <f t="shared" si="6"/>
        <v>Off</v>
      </c>
      <c r="BT237" t="str">
        <f t="shared" si="7"/>
        <v>Off</v>
      </c>
      <c r="BU237" t="str">
        <f t="shared" si="7"/>
        <v>Off</v>
      </c>
      <c r="BV237" t="str">
        <f t="shared" si="7"/>
        <v>Off</v>
      </c>
      <c r="BW237" t="str">
        <f t="shared" si="7"/>
        <v>Off</v>
      </c>
      <c r="BX237" t="str">
        <f t="shared" si="7"/>
        <v>Off</v>
      </c>
      <c r="BY237" t="str">
        <f t="shared" si="7"/>
        <v>Off</v>
      </c>
      <c r="BZ237" t="str">
        <f t="shared" si="7"/>
        <v>Off</v>
      </c>
      <c r="CA237" t="str">
        <f t="shared" si="7"/>
        <v>Off</v>
      </c>
      <c r="CB237" t="str">
        <f t="shared" si="7"/>
        <v>Off</v>
      </c>
      <c r="CC237" t="str">
        <f t="shared" si="7"/>
        <v>Off</v>
      </c>
      <c r="CD237" t="str">
        <f t="shared" si="8"/>
        <v>Off</v>
      </c>
      <c r="CE237" t="str">
        <f t="shared" si="8"/>
        <v>Off</v>
      </c>
      <c r="CF237" t="str">
        <f t="shared" si="8"/>
        <v>Off</v>
      </c>
      <c r="CG237" t="str">
        <f t="shared" si="8"/>
        <v>Off</v>
      </c>
      <c r="CH237" t="str">
        <f t="shared" si="8"/>
        <v>Off</v>
      </c>
      <c r="CI237" t="str">
        <f t="shared" si="8"/>
        <v>Off</v>
      </c>
      <c r="CJ237" t="str">
        <f t="shared" si="8"/>
        <v>Off</v>
      </c>
      <c r="CK237" t="str">
        <f t="shared" si="8"/>
        <v>Off</v>
      </c>
      <c r="CL237" t="str">
        <f t="shared" si="8"/>
        <v>Off</v>
      </c>
      <c r="CM237" t="str">
        <f t="shared" si="8"/>
        <v>Off</v>
      </c>
      <c r="CN237" t="str">
        <f t="shared" si="9"/>
        <v>Off</v>
      </c>
      <c r="CO237" t="str">
        <f t="shared" si="9"/>
        <v>Off</v>
      </c>
      <c r="CP237" t="str">
        <f t="shared" si="9"/>
        <v>Off</v>
      </c>
      <c r="CQ237" t="str">
        <f t="shared" si="9"/>
        <v>Off</v>
      </c>
      <c r="CR237" t="str">
        <f t="shared" si="9"/>
        <v>Off</v>
      </c>
      <c r="CS237" t="str">
        <f t="shared" si="9"/>
        <v>Off</v>
      </c>
      <c r="CT237" t="str">
        <f t="shared" si="9"/>
        <v>Off</v>
      </c>
      <c r="CU237" t="str">
        <f t="shared" si="9"/>
        <v>Off</v>
      </c>
      <c r="CV237" t="str">
        <f t="shared" si="9"/>
        <v>Off</v>
      </c>
      <c r="CW237" t="str">
        <f t="shared" si="9"/>
        <v>Off</v>
      </c>
    </row>
    <row r="238" spans="1:101">
      <c r="A238" t="s">
        <v>1298</v>
      </c>
      <c r="B238" t="str">
        <f t="shared" si="0"/>
        <v>Off</v>
      </c>
      <c r="C238" t="str">
        <f t="shared" si="0"/>
        <v>Off</v>
      </c>
      <c r="D238" t="str">
        <f t="shared" si="0"/>
        <v>Off</v>
      </c>
      <c r="E238" t="str">
        <f t="shared" si="0"/>
        <v>Off</v>
      </c>
      <c r="F238" t="str">
        <f t="shared" si="0"/>
        <v>Off</v>
      </c>
      <c r="G238" t="str">
        <f t="shared" si="0"/>
        <v>Off</v>
      </c>
      <c r="H238" t="str">
        <f t="shared" si="0"/>
        <v>Off</v>
      </c>
      <c r="I238" t="str">
        <f t="shared" si="0"/>
        <v>Off</v>
      </c>
      <c r="J238" t="str">
        <f t="shared" si="0"/>
        <v>Off</v>
      </c>
      <c r="K238" t="str">
        <f t="shared" si="0"/>
        <v>Off</v>
      </c>
      <c r="L238" t="str">
        <f t="shared" si="1"/>
        <v>Off</v>
      </c>
      <c r="M238" t="str">
        <f t="shared" si="1"/>
        <v>Off</v>
      </c>
      <c r="N238" t="str">
        <f t="shared" si="1"/>
        <v>Off</v>
      </c>
      <c r="O238" t="str">
        <f t="shared" si="1"/>
        <v>Off</v>
      </c>
      <c r="P238" t="str">
        <f t="shared" si="1"/>
        <v>Off</v>
      </c>
      <c r="Q238" t="str">
        <f t="shared" si="1"/>
        <v>Off</v>
      </c>
      <c r="R238" t="str">
        <f t="shared" si="1"/>
        <v>Off</v>
      </c>
      <c r="S238" t="str">
        <f t="shared" si="1"/>
        <v>Off</v>
      </c>
      <c r="T238" t="str">
        <f t="shared" si="1"/>
        <v>Off</v>
      </c>
      <c r="U238" t="str">
        <f t="shared" si="1"/>
        <v>Off</v>
      </c>
      <c r="V238" t="str">
        <f t="shared" si="2"/>
        <v>Off</v>
      </c>
      <c r="W238" t="str">
        <f t="shared" si="2"/>
        <v>Off</v>
      </c>
      <c r="X238" t="str">
        <f t="shared" si="2"/>
        <v>Off</v>
      </c>
      <c r="Y238" t="str">
        <f t="shared" si="2"/>
        <v>Off</v>
      </c>
      <c r="Z238" t="str">
        <f t="shared" si="2"/>
        <v>Off</v>
      </c>
      <c r="AA238" t="str">
        <f t="shared" si="2"/>
        <v>Off</v>
      </c>
      <c r="AB238" t="str">
        <f t="shared" si="2"/>
        <v>Off</v>
      </c>
      <c r="AC238" t="str">
        <f t="shared" si="2"/>
        <v>Off</v>
      </c>
      <c r="AD238" t="str">
        <f t="shared" si="2"/>
        <v>Off</v>
      </c>
      <c r="AE238" t="str">
        <f t="shared" si="2"/>
        <v>Off</v>
      </c>
      <c r="AF238" t="str">
        <f t="shared" si="3"/>
        <v>Off</v>
      </c>
      <c r="AG238" t="str">
        <f t="shared" si="3"/>
        <v>Off</v>
      </c>
      <c r="AH238" t="str">
        <f t="shared" si="3"/>
        <v>Off</v>
      </c>
      <c r="AI238" t="str">
        <f t="shared" si="3"/>
        <v>Off</v>
      </c>
      <c r="AJ238" t="str">
        <f t="shared" si="3"/>
        <v>Off</v>
      </c>
      <c r="AK238" t="str">
        <f t="shared" si="3"/>
        <v>Off</v>
      </c>
      <c r="AL238" t="str">
        <f t="shared" si="3"/>
        <v>Off</v>
      </c>
      <c r="AM238" t="str">
        <f t="shared" si="3"/>
        <v>Off</v>
      </c>
      <c r="AN238" t="str">
        <f t="shared" si="3"/>
        <v>Off</v>
      </c>
      <c r="AO238" t="str">
        <f t="shared" si="3"/>
        <v>Off</v>
      </c>
      <c r="AP238" t="str">
        <f t="shared" si="4"/>
        <v>Off</v>
      </c>
      <c r="AQ238" t="str">
        <f t="shared" si="4"/>
        <v>Off</v>
      </c>
      <c r="AR238" t="str">
        <f t="shared" si="4"/>
        <v>Off</v>
      </c>
      <c r="AS238" t="str">
        <f t="shared" si="4"/>
        <v>Off</v>
      </c>
      <c r="AT238" t="str">
        <f t="shared" si="4"/>
        <v>Off</v>
      </c>
      <c r="AU238" t="str">
        <f t="shared" si="4"/>
        <v>Off</v>
      </c>
      <c r="AV238" t="str">
        <f t="shared" si="4"/>
        <v>Off</v>
      </c>
      <c r="AW238" t="str">
        <f t="shared" si="4"/>
        <v>Off</v>
      </c>
      <c r="AX238" t="str">
        <f t="shared" si="4"/>
        <v>Off</v>
      </c>
      <c r="AY238" t="str">
        <f t="shared" si="4"/>
        <v>Off</v>
      </c>
      <c r="AZ238" t="str">
        <f t="shared" si="5"/>
        <v>Off</v>
      </c>
      <c r="BA238" t="str">
        <f t="shared" si="5"/>
        <v>Off</v>
      </c>
      <c r="BB238" t="str">
        <f t="shared" si="5"/>
        <v>Off</v>
      </c>
      <c r="BC238" t="str">
        <f t="shared" si="5"/>
        <v>Off</v>
      </c>
      <c r="BD238" t="str">
        <f t="shared" si="5"/>
        <v>Off</v>
      </c>
      <c r="BE238" t="str">
        <f t="shared" si="5"/>
        <v>Off</v>
      </c>
      <c r="BF238" t="str">
        <f t="shared" si="5"/>
        <v>Off</v>
      </c>
      <c r="BG238" t="str">
        <f t="shared" si="5"/>
        <v>Off</v>
      </c>
      <c r="BH238" t="str">
        <f t="shared" si="5"/>
        <v>Off</v>
      </c>
      <c r="BI238" t="str">
        <f t="shared" si="5"/>
        <v>Off</v>
      </c>
      <c r="BJ238" t="str">
        <f t="shared" si="6"/>
        <v>Off</v>
      </c>
      <c r="BK238" t="str">
        <f t="shared" si="6"/>
        <v>Off</v>
      </c>
      <c r="BL238" t="str">
        <f t="shared" si="6"/>
        <v>Off</v>
      </c>
      <c r="BM238" t="str">
        <f t="shared" si="6"/>
        <v>Off</v>
      </c>
      <c r="BN238" t="str">
        <f t="shared" si="6"/>
        <v>Off</v>
      </c>
      <c r="BO238" t="str">
        <f t="shared" si="6"/>
        <v>Off</v>
      </c>
      <c r="BP238" t="str">
        <f t="shared" si="6"/>
        <v>Off</v>
      </c>
      <c r="BQ238" t="str">
        <f t="shared" si="6"/>
        <v>Off</v>
      </c>
      <c r="BR238" t="str">
        <f t="shared" si="6"/>
        <v>Off</v>
      </c>
      <c r="BS238" t="str">
        <f t="shared" si="6"/>
        <v>Off</v>
      </c>
      <c r="BT238" t="str">
        <f t="shared" si="7"/>
        <v>Off</v>
      </c>
      <c r="BU238" t="str">
        <f t="shared" si="7"/>
        <v>Off</v>
      </c>
      <c r="BV238" t="str">
        <f t="shared" si="7"/>
        <v>Off</v>
      </c>
      <c r="BW238" t="str">
        <f t="shared" si="7"/>
        <v>Off</v>
      </c>
      <c r="BX238" t="str">
        <f t="shared" si="7"/>
        <v>Off</v>
      </c>
      <c r="BY238" t="str">
        <f t="shared" si="7"/>
        <v>Off</v>
      </c>
      <c r="BZ238" t="str">
        <f t="shared" si="7"/>
        <v>Off</v>
      </c>
      <c r="CA238" t="str">
        <f t="shared" si="7"/>
        <v>Off</v>
      </c>
      <c r="CB238" t="str">
        <f t="shared" si="7"/>
        <v>Off</v>
      </c>
      <c r="CC238" t="str">
        <f t="shared" si="7"/>
        <v>Off</v>
      </c>
      <c r="CD238" t="str">
        <f t="shared" si="8"/>
        <v>Off</v>
      </c>
      <c r="CE238" t="str">
        <f t="shared" si="8"/>
        <v>Off</v>
      </c>
      <c r="CF238" t="str">
        <f t="shared" si="8"/>
        <v>Off</v>
      </c>
      <c r="CG238" t="str">
        <f t="shared" si="8"/>
        <v>Off</v>
      </c>
      <c r="CH238" t="str">
        <f t="shared" si="8"/>
        <v>Off</v>
      </c>
      <c r="CI238" t="str">
        <f t="shared" si="8"/>
        <v>Off</v>
      </c>
      <c r="CJ238" t="str">
        <f t="shared" si="8"/>
        <v>Off</v>
      </c>
      <c r="CK238" t="str">
        <f t="shared" si="8"/>
        <v>Off</v>
      </c>
      <c r="CL238" t="str">
        <f t="shared" si="8"/>
        <v>Off</v>
      </c>
      <c r="CM238" t="str">
        <f t="shared" si="8"/>
        <v>Off</v>
      </c>
      <c r="CN238" t="str">
        <f t="shared" si="9"/>
        <v>Off</v>
      </c>
      <c r="CO238" t="str">
        <f t="shared" si="9"/>
        <v>Off</v>
      </c>
      <c r="CP238" t="str">
        <f t="shared" si="9"/>
        <v>Off</v>
      </c>
      <c r="CQ238" t="str">
        <f t="shared" si="9"/>
        <v>Off</v>
      </c>
      <c r="CR238" t="str">
        <f t="shared" si="9"/>
        <v>Off</v>
      </c>
      <c r="CS238" t="str">
        <f t="shared" si="9"/>
        <v>Off</v>
      </c>
      <c r="CT238" t="str">
        <f t="shared" si="9"/>
        <v>Off</v>
      </c>
      <c r="CU238" t="str">
        <f t="shared" si="9"/>
        <v>Off</v>
      </c>
      <c r="CV238" t="str">
        <f t="shared" si="9"/>
        <v>Off</v>
      </c>
      <c r="CW238" t="str">
        <f t="shared" si="9"/>
        <v>Off</v>
      </c>
    </row>
    <row r="239" spans="1:101">
      <c r="A239" t="s">
        <v>9</v>
      </c>
      <c r="B239">
        <v>1</v>
      </c>
      <c r="C239">
        <v>2</v>
      </c>
      <c r="D239">
        <v>3</v>
      </c>
      <c r="E239">
        <v>4</v>
      </c>
      <c r="F239">
        <v>5</v>
      </c>
      <c r="G239">
        <v>6</v>
      </c>
      <c r="H239">
        <v>7</v>
      </c>
      <c r="I239">
        <v>8</v>
      </c>
      <c r="J239">
        <v>9</v>
      </c>
      <c r="K239">
        <v>10</v>
      </c>
      <c r="L239">
        <v>11</v>
      </c>
      <c r="M239">
        <v>12</v>
      </c>
      <c r="N239">
        <v>13</v>
      </c>
      <c r="O239">
        <v>14</v>
      </c>
      <c r="P239">
        <v>15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254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</row>
    <row r="240" spans="1:101">
      <c r="A240" t="s">
        <v>1299</v>
      </c>
      <c r="B240" t="str">
        <f t="shared" ref="B240:K241" si="10">"0"</f>
        <v>0</v>
      </c>
      <c r="C240" t="str">
        <f t="shared" si="10"/>
        <v>0</v>
      </c>
      <c r="D240" t="str">
        <f t="shared" si="10"/>
        <v>0</v>
      </c>
      <c r="E240" t="str">
        <f t="shared" si="10"/>
        <v>0</v>
      </c>
      <c r="F240" t="str">
        <f t="shared" si="10"/>
        <v>0</v>
      </c>
      <c r="G240" t="str">
        <f t="shared" si="10"/>
        <v>0</v>
      </c>
      <c r="H240" t="str">
        <f t="shared" si="10"/>
        <v>0</v>
      </c>
      <c r="I240" t="str">
        <f t="shared" si="10"/>
        <v>0</v>
      </c>
      <c r="J240" t="str">
        <f t="shared" si="10"/>
        <v>0</v>
      </c>
      <c r="K240" t="str">
        <f t="shared" si="10"/>
        <v>0</v>
      </c>
      <c r="L240" t="str">
        <f t="shared" ref="L240:U241" si="11">"0"</f>
        <v>0</v>
      </c>
      <c r="M240" t="str">
        <f t="shared" si="11"/>
        <v>0</v>
      </c>
      <c r="N240" t="str">
        <f t="shared" si="11"/>
        <v>0</v>
      </c>
      <c r="O240" t="str">
        <f t="shared" si="11"/>
        <v>0</v>
      </c>
      <c r="P240" t="str">
        <f t="shared" si="11"/>
        <v>0</v>
      </c>
      <c r="Q240" t="str">
        <f t="shared" si="11"/>
        <v>0</v>
      </c>
      <c r="R240" t="str">
        <f t="shared" si="11"/>
        <v>0</v>
      </c>
      <c r="S240" t="str">
        <f t="shared" si="11"/>
        <v>0</v>
      </c>
      <c r="T240" t="str">
        <f t="shared" si="11"/>
        <v>0</v>
      </c>
      <c r="U240" t="str">
        <f t="shared" si="11"/>
        <v>0</v>
      </c>
      <c r="V240" t="str">
        <f t="shared" ref="V240:AE241" si="12">"0"</f>
        <v>0</v>
      </c>
      <c r="W240" t="str">
        <f t="shared" si="12"/>
        <v>0</v>
      </c>
      <c r="X240" t="str">
        <f t="shared" si="12"/>
        <v>0</v>
      </c>
      <c r="Y240" t="str">
        <f t="shared" si="12"/>
        <v>0</v>
      </c>
      <c r="Z240" t="str">
        <f t="shared" si="12"/>
        <v>0</v>
      </c>
      <c r="AA240" t="str">
        <f t="shared" si="12"/>
        <v>0</v>
      </c>
      <c r="AB240" t="str">
        <f t="shared" si="12"/>
        <v>0</v>
      </c>
      <c r="AC240" t="str">
        <f t="shared" si="12"/>
        <v>0</v>
      </c>
      <c r="AD240" t="str">
        <f t="shared" si="12"/>
        <v>0</v>
      </c>
      <c r="AE240" t="str">
        <f t="shared" si="12"/>
        <v>0</v>
      </c>
      <c r="AF240" t="str">
        <f t="shared" ref="AF240:AO241" si="13">"0"</f>
        <v>0</v>
      </c>
      <c r="AG240" t="str">
        <f t="shared" si="13"/>
        <v>0</v>
      </c>
      <c r="AH240" t="str">
        <f t="shared" si="13"/>
        <v>0</v>
      </c>
      <c r="AI240" t="str">
        <f t="shared" si="13"/>
        <v>0</v>
      </c>
      <c r="AJ240" t="str">
        <f t="shared" si="13"/>
        <v>0</v>
      </c>
      <c r="AK240" t="str">
        <f t="shared" si="13"/>
        <v>0</v>
      </c>
      <c r="AL240" t="str">
        <f t="shared" si="13"/>
        <v>0</v>
      </c>
      <c r="AM240" t="str">
        <f t="shared" si="13"/>
        <v>0</v>
      </c>
      <c r="AN240" t="str">
        <f t="shared" si="13"/>
        <v>0</v>
      </c>
      <c r="AO240" t="str">
        <f t="shared" si="13"/>
        <v>0</v>
      </c>
      <c r="AP240" t="str">
        <f t="shared" ref="AP240:AY241" si="14">"0"</f>
        <v>0</v>
      </c>
      <c r="AQ240" t="str">
        <f t="shared" si="14"/>
        <v>0</v>
      </c>
      <c r="AR240" t="str">
        <f t="shared" si="14"/>
        <v>0</v>
      </c>
      <c r="AS240" t="str">
        <f t="shared" si="14"/>
        <v>0</v>
      </c>
      <c r="AT240" t="str">
        <f t="shared" si="14"/>
        <v>0</v>
      </c>
      <c r="AU240" t="str">
        <f t="shared" si="14"/>
        <v>0</v>
      </c>
      <c r="AV240" t="str">
        <f t="shared" si="14"/>
        <v>0</v>
      </c>
      <c r="AW240" t="str">
        <f t="shared" si="14"/>
        <v>0</v>
      </c>
      <c r="AX240" t="str">
        <f t="shared" si="14"/>
        <v>0</v>
      </c>
      <c r="AY240" t="str">
        <f t="shared" si="14"/>
        <v>0</v>
      </c>
      <c r="AZ240" t="str">
        <f t="shared" ref="AZ240:BI241" si="15">"0"</f>
        <v>0</v>
      </c>
      <c r="BA240" t="str">
        <f t="shared" si="15"/>
        <v>0</v>
      </c>
      <c r="BB240" t="str">
        <f t="shared" si="15"/>
        <v>0</v>
      </c>
      <c r="BC240" t="str">
        <f t="shared" si="15"/>
        <v>0</v>
      </c>
      <c r="BD240" t="str">
        <f t="shared" si="15"/>
        <v>0</v>
      </c>
      <c r="BE240" t="str">
        <f t="shared" si="15"/>
        <v>0</v>
      </c>
      <c r="BF240" t="str">
        <f t="shared" si="15"/>
        <v>0</v>
      </c>
      <c r="BG240" t="str">
        <f t="shared" si="15"/>
        <v>0</v>
      </c>
      <c r="BH240" t="str">
        <f t="shared" si="15"/>
        <v>0</v>
      </c>
      <c r="BI240" t="str">
        <f t="shared" si="15"/>
        <v>0</v>
      </c>
      <c r="BJ240" t="str">
        <f t="shared" ref="BJ240:BS241" si="16">"0"</f>
        <v>0</v>
      </c>
      <c r="BK240" t="str">
        <f t="shared" si="16"/>
        <v>0</v>
      </c>
      <c r="BL240" t="str">
        <f t="shared" si="16"/>
        <v>0</v>
      </c>
      <c r="BM240" t="str">
        <f t="shared" si="16"/>
        <v>0</v>
      </c>
      <c r="BN240" t="str">
        <f t="shared" si="16"/>
        <v>0</v>
      </c>
      <c r="BO240" t="str">
        <f t="shared" si="16"/>
        <v>0</v>
      </c>
      <c r="BP240" t="str">
        <f t="shared" si="16"/>
        <v>0</v>
      </c>
      <c r="BQ240" t="str">
        <f t="shared" si="16"/>
        <v>0</v>
      </c>
      <c r="BR240" t="str">
        <f t="shared" si="16"/>
        <v>0</v>
      </c>
      <c r="BS240" t="str">
        <f t="shared" si="16"/>
        <v>0</v>
      </c>
      <c r="BT240" t="str">
        <f t="shared" ref="BT240:CC241" si="17">"0"</f>
        <v>0</v>
      </c>
      <c r="BU240" t="str">
        <f t="shared" si="17"/>
        <v>0</v>
      </c>
      <c r="BV240" t="str">
        <f t="shared" si="17"/>
        <v>0</v>
      </c>
      <c r="BW240" t="str">
        <f t="shared" si="17"/>
        <v>0</v>
      </c>
      <c r="BX240" t="str">
        <f t="shared" si="17"/>
        <v>0</v>
      </c>
      <c r="BY240" t="str">
        <f t="shared" si="17"/>
        <v>0</v>
      </c>
      <c r="BZ240" t="str">
        <f t="shared" si="17"/>
        <v>0</v>
      </c>
      <c r="CA240" t="str">
        <f t="shared" si="17"/>
        <v>0</v>
      </c>
      <c r="CB240" t="str">
        <f t="shared" si="17"/>
        <v>0</v>
      </c>
      <c r="CC240" t="str">
        <f t="shared" si="17"/>
        <v>0</v>
      </c>
      <c r="CD240" t="str">
        <f t="shared" ref="CD240:CM241" si="18">"0"</f>
        <v>0</v>
      </c>
      <c r="CE240" t="str">
        <f t="shared" si="18"/>
        <v>0</v>
      </c>
      <c r="CF240" t="str">
        <f t="shared" si="18"/>
        <v>0</v>
      </c>
      <c r="CG240" t="str">
        <f t="shared" si="18"/>
        <v>0</v>
      </c>
      <c r="CH240" t="str">
        <f t="shared" si="18"/>
        <v>0</v>
      </c>
      <c r="CI240" t="str">
        <f t="shared" si="18"/>
        <v>0</v>
      </c>
      <c r="CJ240" t="str">
        <f t="shared" si="18"/>
        <v>0</v>
      </c>
      <c r="CK240" t="str">
        <f t="shared" si="18"/>
        <v>0</v>
      </c>
      <c r="CL240" t="str">
        <f t="shared" si="18"/>
        <v>0</v>
      </c>
      <c r="CM240" t="str">
        <f t="shared" si="18"/>
        <v>0</v>
      </c>
      <c r="CN240" t="str">
        <f t="shared" ref="CN240:CW241" si="19">"0"</f>
        <v>0</v>
      </c>
      <c r="CO240" t="str">
        <f t="shared" si="19"/>
        <v>0</v>
      </c>
      <c r="CP240" t="str">
        <f t="shared" si="19"/>
        <v>0</v>
      </c>
      <c r="CQ240" t="str">
        <f t="shared" si="19"/>
        <v>0</v>
      </c>
      <c r="CR240" t="str">
        <f t="shared" si="19"/>
        <v>0</v>
      </c>
      <c r="CS240" t="str">
        <f t="shared" si="19"/>
        <v>0</v>
      </c>
      <c r="CT240" t="str">
        <f t="shared" si="19"/>
        <v>0</v>
      </c>
      <c r="CU240" t="str">
        <f t="shared" si="19"/>
        <v>0</v>
      </c>
      <c r="CV240" t="str">
        <f t="shared" si="19"/>
        <v>0</v>
      </c>
      <c r="CW240" t="str">
        <f t="shared" si="19"/>
        <v>0</v>
      </c>
    </row>
    <row r="241" spans="1:101">
      <c r="A241" t="s">
        <v>1300</v>
      </c>
      <c r="B241" t="str">
        <f t="shared" si="10"/>
        <v>0</v>
      </c>
      <c r="C241" t="str">
        <f t="shared" si="10"/>
        <v>0</v>
      </c>
      <c r="D241" t="str">
        <f t="shared" si="10"/>
        <v>0</v>
      </c>
      <c r="E241" t="str">
        <f t="shared" si="10"/>
        <v>0</v>
      </c>
      <c r="F241" t="str">
        <f t="shared" si="10"/>
        <v>0</v>
      </c>
      <c r="G241" t="str">
        <f t="shared" si="10"/>
        <v>0</v>
      </c>
      <c r="H241" t="str">
        <f t="shared" si="10"/>
        <v>0</v>
      </c>
      <c r="I241" t="str">
        <f t="shared" si="10"/>
        <v>0</v>
      </c>
      <c r="J241" t="str">
        <f t="shared" si="10"/>
        <v>0</v>
      </c>
      <c r="K241" t="str">
        <f t="shared" si="10"/>
        <v>0</v>
      </c>
      <c r="L241" t="str">
        <f t="shared" si="11"/>
        <v>0</v>
      </c>
      <c r="M241" t="str">
        <f t="shared" si="11"/>
        <v>0</v>
      </c>
      <c r="N241" t="str">
        <f t="shared" si="11"/>
        <v>0</v>
      </c>
      <c r="O241" t="str">
        <f t="shared" si="11"/>
        <v>0</v>
      </c>
      <c r="P241" t="str">
        <f t="shared" si="11"/>
        <v>0</v>
      </c>
      <c r="Q241" t="str">
        <f t="shared" si="11"/>
        <v>0</v>
      </c>
      <c r="R241" t="str">
        <f t="shared" si="11"/>
        <v>0</v>
      </c>
      <c r="S241" t="str">
        <f t="shared" si="11"/>
        <v>0</v>
      </c>
      <c r="T241" t="str">
        <f t="shared" si="11"/>
        <v>0</v>
      </c>
      <c r="U241" t="str">
        <f t="shared" si="11"/>
        <v>0</v>
      </c>
      <c r="V241" t="str">
        <f t="shared" si="12"/>
        <v>0</v>
      </c>
      <c r="W241" t="str">
        <f t="shared" si="12"/>
        <v>0</v>
      </c>
      <c r="X241" t="str">
        <f t="shared" si="12"/>
        <v>0</v>
      </c>
      <c r="Y241" t="str">
        <f t="shared" si="12"/>
        <v>0</v>
      </c>
      <c r="Z241" t="str">
        <f t="shared" si="12"/>
        <v>0</v>
      </c>
      <c r="AA241" t="str">
        <f t="shared" si="12"/>
        <v>0</v>
      </c>
      <c r="AB241" t="str">
        <f t="shared" si="12"/>
        <v>0</v>
      </c>
      <c r="AC241" t="str">
        <f t="shared" si="12"/>
        <v>0</v>
      </c>
      <c r="AD241" t="str">
        <f t="shared" si="12"/>
        <v>0</v>
      </c>
      <c r="AE241" t="str">
        <f t="shared" si="12"/>
        <v>0</v>
      </c>
      <c r="AF241" t="str">
        <f t="shared" si="13"/>
        <v>0</v>
      </c>
      <c r="AG241" t="str">
        <f t="shared" si="13"/>
        <v>0</v>
      </c>
      <c r="AH241" t="str">
        <f t="shared" si="13"/>
        <v>0</v>
      </c>
      <c r="AI241" t="str">
        <f t="shared" si="13"/>
        <v>0</v>
      </c>
      <c r="AJ241" t="str">
        <f t="shared" si="13"/>
        <v>0</v>
      </c>
      <c r="AK241" t="str">
        <f t="shared" si="13"/>
        <v>0</v>
      </c>
      <c r="AL241" t="str">
        <f t="shared" si="13"/>
        <v>0</v>
      </c>
      <c r="AM241" t="str">
        <f t="shared" si="13"/>
        <v>0</v>
      </c>
      <c r="AN241" t="str">
        <f t="shared" si="13"/>
        <v>0</v>
      </c>
      <c r="AO241" t="str">
        <f t="shared" si="13"/>
        <v>0</v>
      </c>
      <c r="AP241" t="str">
        <f t="shared" si="14"/>
        <v>0</v>
      </c>
      <c r="AQ241" t="str">
        <f t="shared" si="14"/>
        <v>0</v>
      </c>
      <c r="AR241" t="str">
        <f t="shared" si="14"/>
        <v>0</v>
      </c>
      <c r="AS241" t="str">
        <f t="shared" si="14"/>
        <v>0</v>
      </c>
      <c r="AT241" t="str">
        <f t="shared" si="14"/>
        <v>0</v>
      </c>
      <c r="AU241" t="str">
        <f t="shared" si="14"/>
        <v>0</v>
      </c>
      <c r="AV241" t="str">
        <f t="shared" si="14"/>
        <v>0</v>
      </c>
      <c r="AW241" t="str">
        <f t="shared" si="14"/>
        <v>0</v>
      </c>
      <c r="AX241" t="str">
        <f t="shared" si="14"/>
        <v>0</v>
      </c>
      <c r="AY241" t="str">
        <f t="shared" si="14"/>
        <v>0</v>
      </c>
      <c r="AZ241" t="str">
        <f t="shared" si="15"/>
        <v>0</v>
      </c>
      <c r="BA241" t="str">
        <f t="shared" si="15"/>
        <v>0</v>
      </c>
      <c r="BB241" t="str">
        <f t="shared" si="15"/>
        <v>0</v>
      </c>
      <c r="BC241" t="str">
        <f t="shared" si="15"/>
        <v>0</v>
      </c>
      <c r="BD241" t="str">
        <f t="shared" si="15"/>
        <v>0</v>
      </c>
      <c r="BE241" t="str">
        <f t="shared" si="15"/>
        <v>0</v>
      </c>
      <c r="BF241" t="str">
        <f t="shared" si="15"/>
        <v>0</v>
      </c>
      <c r="BG241" t="str">
        <f t="shared" si="15"/>
        <v>0</v>
      </c>
      <c r="BH241" t="str">
        <f t="shared" si="15"/>
        <v>0</v>
      </c>
      <c r="BI241" t="str">
        <f t="shared" si="15"/>
        <v>0</v>
      </c>
      <c r="BJ241" t="str">
        <f t="shared" si="16"/>
        <v>0</v>
      </c>
      <c r="BK241" t="str">
        <f t="shared" si="16"/>
        <v>0</v>
      </c>
      <c r="BL241" t="str">
        <f t="shared" si="16"/>
        <v>0</v>
      </c>
      <c r="BM241" t="str">
        <f t="shared" si="16"/>
        <v>0</v>
      </c>
      <c r="BN241" t="str">
        <f t="shared" si="16"/>
        <v>0</v>
      </c>
      <c r="BO241" t="str">
        <f t="shared" si="16"/>
        <v>0</v>
      </c>
      <c r="BP241" t="str">
        <f t="shared" si="16"/>
        <v>0</v>
      </c>
      <c r="BQ241" t="str">
        <f t="shared" si="16"/>
        <v>0</v>
      </c>
      <c r="BR241" t="str">
        <f t="shared" si="16"/>
        <v>0</v>
      </c>
      <c r="BS241" t="str">
        <f t="shared" si="16"/>
        <v>0</v>
      </c>
      <c r="BT241" t="str">
        <f t="shared" si="17"/>
        <v>0</v>
      </c>
      <c r="BU241" t="str">
        <f t="shared" si="17"/>
        <v>0</v>
      </c>
      <c r="BV241" t="str">
        <f t="shared" si="17"/>
        <v>0</v>
      </c>
      <c r="BW241" t="str">
        <f t="shared" si="17"/>
        <v>0</v>
      </c>
      <c r="BX241" t="str">
        <f t="shared" si="17"/>
        <v>0</v>
      </c>
      <c r="BY241" t="str">
        <f t="shared" si="17"/>
        <v>0</v>
      </c>
      <c r="BZ241" t="str">
        <f t="shared" si="17"/>
        <v>0</v>
      </c>
      <c r="CA241" t="str">
        <f t="shared" si="17"/>
        <v>0</v>
      </c>
      <c r="CB241" t="str">
        <f t="shared" si="17"/>
        <v>0</v>
      </c>
      <c r="CC241" t="str">
        <f t="shared" si="17"/>
        <v>0</v>
      </c>
      <c r="CD241" t="str">
        <f t="shared" si="18"/>
        <v>0</v>
      </c>
      <c r="CE241" t="str">
        <f t="shared" si="18"/>
        <v>0</v>
      </c>
      <c r="CF241" t="str">
        <f t="shared" si="18"/>
        <v>0</v>
      </c>
      <c r="CG241" t="str">
        <f t="shared" si="18"/>
        <v>0</v>
      </c>
      <c r="CH241" t="str">
        <f t="shared" si="18"/>
        <v>0</v>
      </c>
      <c r="CI241" t="str">
        <f t="shared" si="18"/>
        <v>0</v>
      </c>
      <c r="CJ241" t="str">
        <f t="shared" si="18"/>
        <v>0</v>
      </c>
      <c r="CK241" t="str">
        <f t="shared" si="18"/>
        <v>0</v>
      </c>
      <c r="CL241" t="str">
        <f t="shared" si="18"/>
        <v>0</v>
      </c>
      <c r="CM241" t="str">
        <f t="shared" si="18"/>
        <v>0</v>
      </c>
      <c r="CN241" t="str">
        <f t="shared" si="19"/>
        <v>0</v>
      </c>
      <c r="CO241" t="str">
        <f t="shared" si="19"/>
        <v>0</v>
      </c>
      <c r="CP241" t="str">
        <f t="shared" si="19"/>
        <v>0</v>
      </c>
      <c r="CQ241" t="str">
        <f t="shared" si="19"/>
        <v>0</v>
      </c>
      <c r="CR241" t="str">
        <f t="shared" si="19"/>
        <v>0</v>
      </c>
      <c r="CS241" t="str">
        <f t="shared" si="19"/>
        <v>0</v>
      </c>
      <c r="CT241" t="str">
        <f t="shared" si="19"/>
        <v>0</v>
      </c>
      <c r="CU241" t="str">
        <f t="shared" si="19"/>
        <v>0</v>
      </c>
      <c r="CV241" t="str">
        <f t="shared" si="19"/>
        <v>0</v>
      </c>
      <c r="CW241" t="str">
        <f t="shared" si="19"/>
        <v>0</v>
      </c>
    </row>
    <row r="242" spans="1:101">
      <c r="A242" t="s">
        <v>1301</v>
      </c>
      <c r="B242" t="str">
        <f t="shared" ref="B242:K249" si="20">"Off"</f>
        <v>Off</v>
      </c>
      <c r="C242" t="str">
        <f t="shared" si="20"/>
        <v>Off</v>
      </c>
      <c r="D242" t="str">
        <f t="shared" si="20"/>
        <v>Off</v>
      </c>
      <c r="E242" t="str">
        <f t="shared" si="20"/>
        <v>Off</v>
      </c>
      <c r="F242" t="str">
        <f t="shared" si="20"/>
        <v>Off</v>
      </c>
      <c r="G242" t="str">
        <f t="shared" si="20"/>
        <v>Off</v>
      </c>
      <c r="H242" t="str">
        <f t="shared" si="20"/>
        <v>Off</v>
      </c>
      <c r="I242" t="str">
        <f t="shared" si="20"/>
        <v>Off</v>
      </c>
      <c r="J242" t="str">
        <f t="shared" si="20"/>
        <v>Off</v>
      </c>
      <c r="K242" t="str">
        <f t="shared" si="20"/>
        <v>Off</v>
      </c>
      <c r="L242" t="str">
        <f t="shared" ref="L242:U249" si="21">"Off"</f>
        <v>Off</v>
      </c>
      <c r="M242" t="str">
        <f t="shared" si="21"/>
        <v>Off</v>
      </c>
      <c r="N242" t="str">
        <f t="shared" si="21"/>
        <v>Off</v>
      </c>
      <c r="O242" t="str">
        <f t="shared" si="21"/>
        <v>Off</v>
      </c>
      <c r="P242" t="str">
        <f t="shared" si="21"/>
        <v>Off</v>
      </c>
      <c r="Q242" t="str">
        <f t="shared" si="21"/>
        <v>Off</v>
      </c>
      <c r="R242" t="str">
        <f t="shared" si="21"/>
        <v>Off</v>
      </c>
      <c r="S242" t="str">
        <f t="shared" si="21"/>
        <v>Off</v>
      </c>
      <c r="T242" t="str">
        <f t="shared" si="21"/>
        <v>Off</v>
      </c>
      <c r="U242" t="str">
        <f t="shared" si="21"/>
        <v>Off</v>
      </c>
      <c r="V242" t="str">
        <f t="shared" ref="V242:AE249" si="22">"Off"</f>
        <v>Off</v>
      </c>
      <c r="W242" t="str">
        <f t="shared" si="22"/>
        <v>Off</v>
      </c>
      <c r="X242" t="str">
        <f t="shared" si="22"/>
        <v>Off</v>
      </c>
      <c r="Y242" t="str">
        <f t="shared" si="22"/>
        <v>Off</v>
      </c>
      <c r="Z242" t="str">
        <f t="shared" si="22"/>
        <v>Off</v>
      </c>
      <c r="AA242" t="str">
        <f t="shared" si="22"/>
        <v>Off</v>
      </c>
      <c r="AB242" t="str">
        <f t="shared" si="22"/>
        <v>Off</v>
      </c>
      <c r="AC242" t="str">
        <f t="shared" si="22"/>
        <v>Off</v>
      </c>
      <c r="AD242" t="str">
        <f t="shared" si="22"/>
        <v>Off</v>
      </c>
      <c r="AE242" t="str">
        <f t="shared" si="22"/>
        <v>Off</v>
      </c>
      <c r="AF242" t="str">
        <f t="shared" ref="AF242:AO249" si="23">"Off"</f>
        <v>Off</v>
      </c>
      <c r="AG242" t="str">
        <f t="shared" si="23"/>
        <v>Off</v>
      </c>
      <c r="AH242" t="str">
        <f t="shared" si="23"/>
        <v>Off</v>
      </c>
      <c r="AI242" t="str">
        <f t="shared" si="23"/>
        <v>Off</v>
      </c>
      <c r="AJ242" t="str">
        <f t="shared" si="23"/>
        <v>Off</v>
      </c>
      <c r="AK242" t="str">
        <f t="shared" si="23"/>
        <v>Off</v>
      </c>
      <c r="AL242" t="str">
        <f t="shared" si="23"/>
        <v>Off</v>
      </c>
      <c r="AM242" t="str">
        <f t="shared" si="23"/>
        <v>Off</v>
      </c>
      <c r="AN242" t="str">
        <f t="shared" si="23"/>
        <v>Off</v>
      </c>
      <c r="AO242" t="str">
        <f t="shared" si="23"/>
        <v>Off</v>
      </c>
      <c r="AP242" t="str">
        <f t="shared" ref="AP242:AY249" si="24">"Off"</f>
        <v>Off</v>
      </c>
      <c r="AQ242" t="str">
        <f t="shared" si="24"/>
        <v>Off</v>
      </c>
      <c r="AR242" t="str">
        <f t="shared" si="24"/>
        <v>Off</v>
      </c>
      <c r="AS242" t="str">
        <f t="shared" si="24"/>
        <v>Off</v>
      </c>
      <c r="AT242" t="str">
        <f t="shared" si="24"/>
        <v>Off</v>
      </c>
      <c r="AU242" t="str">
        <f t="shared" si="24"/>
        <v>Off</v>
      </c>
      <c r="AV242" t="str">
        <f t="shared" si="24"/>
        <v>Off</v>
      </c>
      <c r="AW242" t="str">
        <f t="shared" si="24"/>
        <v>Off</v>
      </c>
      <c r="AX242" t="str">
        <f t="shared" si="24"/>
        <v>Off</v>
      </c>
      <c r="AY242" t="str">
        <f t="shared" si="24"/>
        <v>Off</v>
      </c>
      <c r="AZ242" t="str">
        <f t="shared" ref="AZ242:BI249" si="25">"Off"</f>
        <v>Off</v>
      </c>
      <c r="BA242" t="str">
        <f t="shared" si="25"/>
        <v>Off</v>
      </c>
      <c r="BB242" t="str">
        <f t="shared" si="25"/>
        <v>Off</v>
      </c>
      <c r="BC242" t="str">
        <f t="shared" si="25"/>
        <v>Off</v>
      </c>
      <c r="BD242" t="str">
        <f t="shared" si="25"/>
        <v>Off</v>
      </c>
      <c r="BE242" t="str">
        <f t="shared" si="25"/>
        <v>Off</v>
      </c>
      <c r="BF242" t="str">
        <f t="shared" si="25"/>
        <v>Off</v>
      </c>
      <c r="BG242" t="str">
        <f t="shared" si="25"/>
        <v>Off</v>
      </c>
      <c r="BH242" t="str">
        <f t="shared" si="25"/>
        <v>Off</v>
      </c>
      <c r="BI242" t="str">
        <f t="shared" si="25"/>
        <v>Off</v>
      </c>
      <c r="BJ242" t="str">
        <f t="shared" ref="BJ242:BS249" si="26">"Off"</f>
        <v>Off</v>
      </c>
      <c r="BK242" t="str">
        <f t="shared" si="26"/>
        <v>Off</v>
      </c>
      <c r="BL242" t="str">
        <f t="shared" si="26"/>
        <v>Off</v>
      </c>
      <c r="BM242" t="str">
        <f t="shared" si="26"/>
        <v>Off</v>
      </c>
      <c r="BN242" t="str">
        <f t="shared" si="26"/>
        <v>Off</v>
      </c>
      <c r="BO242" t="str">
        <f t="shared" si="26"/>
        <v>Off</v>
      </c>
      <c r="BP242" t="str">
        <f t="shared" si="26"/>
        <v>Off</v>
      </c>
      <c r="BQ242" t="str">
        <f t="shared" si="26"/>
        <v>Off</v>
      </c>
      <c r="BR242" t="str">
        <f t="shared" si="26"/>
        <v>Off</v>
      </c>
      <c r="BS242" t="str">
        <f t="shared" si="26"/>
        <v>Off</v>
      </c>
      <c r="BT242" t="str">
        <f t="shared" ref="BT242:CC249" si="27">"Off"</f>
        <v>Off</v>
      </c>
      <c r="BU242" t="str">
        <f t="shared" si="27"/>
        <v>Off</v>
      </c>
      <c r="BV242" t="str">
        <f t="shared" si="27"/>
        <v>Off</v>
      </c>
      <c r="BW242" t="str">
        <f t="shared" si="27"/>
        <v>Off</v>
      </c>
      <c r="BX242" t="str">
        <f t="shared" si="27"/>
        <v>Off</v>
      </c>
      <c r="BY242" t="str">
        <f t="shared" si="27"/>
        <v>Off</v>
      </c>
      <c r="BZ242" t="str">
        <f t="shared" si="27"/>
        <v>Off</v>
      </c>
      <c r="CA242" t="str">
        <f t="shared" si="27"/>
        <v>Off</v>
      </c>
      <c r="CB242" t="str">
        <f t="shared" si="27"/>
        <v>Off</v>
      </c>
      <c r="CC242" t="str">
        <f t="shared" si="27"/>
        <v>Off</v>
      </c>
      <c r="CD242" t="str">
        <f t="shared" ref="CD242:CM249" si="28">"Off"</f>
        <v>Off</v>
      </c>
      <c r="CE242" t="str">
        <f t="shared" si="28"/>
        <v>Off</v>
      </c>
      <c r="CF242" t="str">
        <f t="shared" si="28"/>
        <v>Off</v>
      </c>
      <c r="CG242" t="str">
        <f t="shared" si="28"/>
        <v>Off</v>
      </c>
      <c r="CH242" t="str">
        <f t="shared" si="28"/>
        <v>Off</v>
      </c>
      <c r="CI242" t="str">
        <f t="shared" si="28"/>
        <v>Off</v>
      </c>
      <c r="CJ242" t="str">
        <f t="shared" si="28"/>
        <v>Off</v>
      </c>
      <c r="CK242" t="str">
        <f t="shared" si="28"/>
        <v>Off</v>
      </c>
      <c r="CL242" t="str">
        <f t="shared" si="28"/>
        <v>Off</v>
      </c>
      <c r="CM242" t="str">
        <f t="shared" si="28"/>
        <v>Off</v>
      </c>
      <c r="CN242" t="str">
        <f t="shared" ref="CN242:CW249" si="29">"Off"</f>
        <v>Off</v>
      </c>
      <c r="CO242" t="str">
        <f t="shared" si="29"/>
        <v>Off</v>
      </c>
      <c r="CP242" t="str">
        <f t="shared" si="29"/>
        <v>Off</v>
      </c>
      <c r="CQ242" t="str">
        <f t="shared" si="29"/>
        <v>Off</v>
      </c>
      <c r="CR242" t="str">
        <f t="shared" si="29"/>
        <v>Off</v>
      </c>
      <c r="CS242" t="str">
        <f t="shared" si="29"/>
        <v>Off</v>
      </c>
      <c r="CT242" t="str">
        <f t="shared" si="29"/>
        <v>Off</v>
      </c>
      <c r="CU242" t="str">
        <f t="shared" si="29"/>
        <v>Off</v>
      </c>
      <c r="CV242" t="str">
        <f t="shared" si="29"/>
        <v>Off</v>
      </c>
      <c r="CW242" t="str">
        <f t="shared" si="29"/>
        <v>Off</v>
      </c>
    </row>
    <row r="243" spans="1:101">
      <c r="A243" t="s">
        <v>1302</v>
      </c>
      <c r="B243" t="str">
        <f t="shared" si="20"/>
        <v>Off</v>
      </c>
      <c r="C243" t="str">
        <f t="shared" si="20"/>
        <v>Off</v>
      </c>
      <c r="D243" t="str">
        <f t="shared" si="20"/>
        <v>Off</v>
      </c>
      <c r="E243" t="str">
        <f t="shared" si="20"/>
        <v>Off</v>
      </c>
      <c r="F243" t="str">
        <f t="shared" si="20"/>
        <v>Off</v>
      </c>
      <c r="G243" t="str">
        <f t="shared" si="20"/>
        <v>Off</v>
      </c>
      <c r="H243" t="str">
        <f t="shared" si="20"/>
        <v>Off</v>
      </c>
      <c r="I243" t="str">
        <f t="shared" si="20"/>
        <v>Off</v>
      </c>
      <c r="J243" t="str">
        <f t="shared" si="20"/>
        <v>Off</v>
      </c>
      <c r="K243" t="str">
        <f t="shared" si="20"/>
        <v>Off</v>
      </c>
      <c r="L243" t="str">
        <f t="shared" si="21"/>
        <v>Off</v>
      </c>
      <c r="M243" t="str">
        <f t="shared" si="21"/>
        <v>Off</v>
      </c>
      <c r="N243" t="str">
        <f t="shared" si="21"/>
        <v>Off</v>
      </c>
      <c r="O243" t="str">
        <f t="shared" si="21"/>
        <v>Off</v>
      </c>
      <c r="P243" t="str">
        <f t="shared" si="21"/>
        <v>Off</v>
      </c>
      <c r="Q243" t="str">
        <f t="shared" si="21"/>
        <v>Off</v>
      </c>
      <c r="R243" t="str">
        <f t="shared" si="21"/>
        <v>Off</v>
      </c>
      <c r="S243" t="str">
        <f t="shared" si="21"/>
        <v>Off</v>
      </c>
      <c r="T243" t="str">
        <f t="shared" si="21"/>
        <v>Off</v>
      </c>
      <c r="U243" t="str">
        <f t="shared" si="21"/>
        <v>Off</v>
      </c>
      <c r="V243" t="str">
        <f t="shared" si="22"/>
        <v>Off</v>
      </c>
      <c r="W243" t="str">
        <f t="shared" si="22"/>
        <v>Off</v>
      </c>
      <c r="X243" t="str">
        <f t="shared" si="22"/>
        <v>Off</v>
      </c>
      <c r="Y243" t="str">
        <f t="shared" si="22"/>
        <v>Off</v>
      </c>
      <c r="Z243" t="str">
        <f t="shared" si="22"/>
        <v>Off</v>
      </c>
      <c r="AA243" t="str">
        <f t="shared" si="22"/>
        <v>Off</v>
      </c>
      <c r="AB243" t="str">
        <f t="shared" si="22"/>
        <v>Off</v>
      </c>
      <c r="AC243" t="str">
        <f t="shared" si="22"/>
        <v>Off</v>
      </c>
      <c r="AD243" t="str">
        <f t="shared" si="22"/>
        <v>Off</v>
      </c>
      <c r="AE243" t="str">
        <f t="shared" si="22"/>
        <v>Off</v>
      </c>
      <c r="AF243" t="str">
        <f t="shared" si="23"/>
        <v>Off</v>
      </c>
      <c r="AG243" t="str">
        <f t="shared" si="23"/>
        <v>Off</v>
      </c>
      <c r="AH243" t="str">
        <f t="shared" si="23"/>
        <v>Off</v>
      </c>
      <c r="AI243" t="str">
        <f t="shared" si="23"/>
        <v>Off</v>
      </c>
      <c r="AJ243" t="str">
        <f t="shared" si="23"/>
        <v>Off</v>
      </c>
      <c r="AK243" t="str">
        <f t="shared" si="23"/>
        <v>Off</v>
      </c>
      <c r="AL243" t="str">
        <f t="shared" si="23"/>
        <v>Off</v>
      </c>
      <c r="AM243" t="str">
        <f t="shared" si="23"/>
        <v>Off</v>
      </c>
      <c r="AN243" t="str">
        <f t="shared" si="23"/>
        <v>Off</v>
      </c>
      <c r="AO243" t="str">
        <f t="shared" si="23"/>
        <v>Off</v>
      </c>
      <c r="AP243" t="str">
        <f t="shared" si="24"/>
        <v>Off</v>
      </c>
      <c r="AQ243" t="str">
        <f t="shared" si="24"/>
        <v>Off</v>
      </c>
      <c r="AR243" t="str">
        <f t="shared" si="24"/>
        <v>Off</v>
      </c>
      <c r="AS243" t="str">
        <f t="shared" si="24"/>
        <v>Off</v>
      </c>
      <c r="AT243" t="str">
        <f t="shared" si="24"/>
        <v>Off</v>
      </c>
      <c r="AU243" t="str">
        <f t="shared" si="24"/>
        <v>Off</v>
      </c>
      <c r="AV243" t="str">
        <f t="shared" si="24"/>
        <v>Off</v>
      </c>
      <c r="AW243" t="str">
        <f t="shared" si="24"/>
        <v>Off</v>
      </c>
      <c r="AX243" t="str">
        <f t="shared" si="24"/>
        <v>Off</v>
      </c>
      <c r="AY243" t="str">
        <f t="shared" si="24"/>
        <v>Off</v>
      </c>
      <c r="AZ243" t="str">
        <f t="shared" si="25"/>
        <v>Off</v>
      </c>
      <c r="BA243" t="str">
        <f t="shared" si="25"/>
        <v>Off</v>
      </c>
      <c r="BB243" t="str">
        <f t="shared" si="25"/>
        <v>Off</v>
      </c>
      <c r="BC243" t="str">
        <f t="shared" si="25"/>
        <v>Off</v>
      </c>
      <c r="BD243" t="str">
        <f t="shared" si="25"/>
        <v>Off</v>
      </c>
      <c r="BE243" t="str">
        <f t="shared" si="25"/>
        <v>Off</v>
      </c>
      <c r="BF243" t="str">
        <f t="shared" si="25"/>
        <v>Off</v>
      </c>
      <c r="BG243" t="str">
        <f t="shared" si="25"/>
        <v>Off</v>
      </c>
      <c r="BH243" t="str">
        <f t="shared" si="25"/>
        <v>Off</v>
      </c>
      <c r="BI243" t="str">
        <f t="shared" si="25"/>
        <v>Off</v>
      </c>
      <c r="BJ243" t="str">
        <f t="shared" si="26"/>
        <v>Off</v>
      </c>
      <c r="BK243" t="str">
        <f t="shared" si="26"/>
        <v>Off</v>
      </c>
      <c r="BL243" t="str">
        <f t="shared" si="26"/>
        <v>Off</v>
      </c>
      <c r="BM243" t="str">
        <f t="shared" si="26"/>
        <v>Off</v>
      </c>
      <c r="BN243" t="str">
        <f t="shared" si="26"/>
        <v>Off</v>
      </c>
      <c r="BO243" t="str">
        <f t="shared" si="26"/>
        <v>Off</v>
      </c>
      <c r="BP243" t="str">
        <f t="shared" si="26"/>
        <v>Off</v>
      </c>
      <c r="BQ243" t="str">
        <f t="shared" si="26"/>
        <v>Off</v>
      </c>
      <c r="BR243" t="str">
        <f t="shared" si="26"/>
        <v>Off</v>
      </c>
      <c r="BS243" t="str">
        <f t="shared" si="26"/>
        <v>Off</v>
      </c>
      <c r="BT243" t="str">
        <f t="shared" si="27"/>
        <v>Off</v>
      </c>
      <c r="BU243" t="str">
        <f t="shared" si="27"/>
        <v>Off</v>
      </c>
      <c r="BV243" t="str">
        <f t="shared" si="27"/>
        <v>Off</v>
      </c>
      <c r="BW243" t="str">
        <f t="shared" si="27"/>
        <v>Off</v>
      </c>
      <c r="BX243" t="str">
        <f t="shared" si="27"/>
        <v>Off</v>
      </c>
      <c r="BY243" t="str">
        <f t="shared" si="27"/>
        <v>Off</v>
      </c>
      <c r="BZ243" t="str">
        <f t="shared" si="27"/>
        <v>Off</v>
      </c>
      <c r="CA243" t="str">
        <f t="shared" si="27"/>
        <v>Off</v>
      </c>
      <c r="CB243" t="str">
        <f t="shared" si="27"/>
        <v>Off</v>
      </c>
      <c r="CC243" t="str">
        <f t="shared" si="27"/>
        <v>Off</v>
      </c>
      <c r="CD243" t="str">
        <f t="shared" si="28"/>
        <v>Off</v>
      </c>
      <c r="CE243" t="str">
        <f t="shared" si="28"/>
        <v>Off</v>
      </c>
      <c r="CF243" t="str">
        <f t="shared" si="28"/>
        <v>Off</v>
      </c>
      <c r="CG243" t="str">
        <f t="shared" si="28"/>
        <v>Off</v>
      </c>
      <c r="CH243" t="str">
        <f t="shared" si="28"/>
        <v>Off</v>
      </c>
      <c r="CI243" t="str">
        <f t="shared" si="28"/>
        <v>Off</v>
      </c>
      <c r="CJ243" t="str">
        <f t="shared" si="28"/>
        <v>Off</v>
      </c>
      <c r="CK243" t="str">
        <f t="shared" si="28"/>
        <v>Off</v>
      </c>
      <c r="CL243" t="str">
        <f t="shared" si="28"/>
        <v>Off</v>
      </c>
      <c r="CM243" t="str">
        <f t="shared" si="28"/>
        <v>Off</v>
      </c>
      <c r="CN243" t="str">
        <f t="shared" si="29"/>
        <v>Off</v>
      </c>
      <c r="CO243" t="str">
        <f t="shared" si="29"/>
        <v>Off</v>
      </c>
      <c r="CP243" t="str">
        <f t="shared" si="29"/>
        <v>Off</v>
      </c>
      <c r="CQ243" t="str">
        <f t="shared" si="29"/>
        <v>Off</v>
      </c>
      <c r="CR243" t="str">
        <f t="shared" si="29"/>
        <v>Off</v>
      </c>
      <c r="CS243" t="str">
        <f t="shared" si="29"/>
        <v>Off</v>
      </c>
      <c r="CT243" t="str">
        <f t="shared" si="29"/>
        <v>Off</v>
      </c>
      <c r="CU243" t="str">
        <f t="shared" si="29"/>
        <v>Off</v>
      </c>
      <c r="CV243" t="str">
        <f t="shared" si="29"/>
        <v>Off</v>
      </c>
      <c r="CW243" t="str">
        <f t="shared" si="29"/>
        <v>Off</v>
      </c>
    </row>
    <row r="244" spans="1:101">
      <c r="A244" t="s">
        <v>1303</v>
      </c>
      <c r="B244" t="str">
        <f t="shared" si="20"/>
        <v>Off</v>
      </c>
      <c r="C244" t="str">
        <f t="shared" si="20"/>
        <v>Off</v>
      </c>
      <c r="D244" t="str">
        <f t="shared" si="20"/>
        <v>Off</v>
      </c>
      <c r="E244" t="str">
        <f t="shared" si="20"/>
        <v>Off</v>
      </c>
      <c r="F244" t="str">
        <f t="shared" si="20"/>
        <v>Off</v>
      </c>
      <c r="G244" t="str">
        <f t="shared" si="20"/>
        <v>Off</v>
      </c>
      <c r="H244" t="str">
        <f t="shared" si="20"/>
        <v>Off</v>
      </c>
      <c r="I244" t="str">
        <f t="shared" si="20"/>
        <v>Off</v>
      </c>
      <c r="J244" t="str">
        <f t="shared" si="20"/>
        <v>Off</v>
      </c>
      <c r="K244" t="str">
        <f t="shared" si="20"/>
        <v>Off</v>
      </c>
      <c r="L244" t="str">
        <f t="shared" si="21"/>
        <v>Off</v>
      </c>
      <c r="M244" t="str">
        <f t="shared" si="21"/>
        <v>Off</v>
      </c>
      <c r="N244" t="str">
        <f t="shared" si="21"/>
        <v>Off</v>
      </c>
      <c r="O244" t="str">
        <f t="shared" si="21"/>
        <v>Off</v>
      </c>
      <c r="P244" t="str">
        <f t="shared" si="21"/>
        <v>Off</v>
      </c>
      <c r="Q244" t="str">
        <f t="shared" si="21"/>
        <v>Off</v>
      </c>
      <c r="R244" t="str">
        <f t="shared" si="21"/>
        <v>Off</v>
      </c>
      <c r="S244" t="str">
        <f t="shared" si="21"/>
        <v>Off</v>
      </c>
      <c r="T244" t="str">
        <f t="shared" si="21"/>
        <v>Off</v>
      </c>
      <c r="U244" t="str">
        <f t="shared" si="21"/>
        <v>Off</v>
      </c>
      <c r="V244" t="str">
        <f t="shared" si="22"/>
        <v>Off</v>
      </c>
      <c r="W244" t="str">
        <f t="shared" si="22"/>
        <v>Off</v>
      </c>
      <c r="X244" t="str">
        <f t="shared" si="22"/>
        <v>Off</v>
      </c>
      <c r="Y244" t="str">
        <f t="shared" si="22"/>
        <v>Off</v>
      </c>
      <c r="Z244" t="str">
        <f t="shared" si="22"/>
        <v>Off</v>
      </c>
      <c r="AA244" t="str">
        <f t="shared" si="22"/>
        <v>Off</v>
      </c>
      <c r="AB244" t="str">
        <f t="shared" si="22"/>
        <v>Off</v>
      </c>
      <c r="AC244" t="str">
        <f t="shared" si="22"/>
        <v>Off</v>
      </c>
      <c r="AD244" t="str">
        <f t="shared" si="22"/>
        <v>Off</v>
      </c>
      <c r="AE244" t="str">
        <f t="shared" si="22"/>
        <v>Off</v>
      </c>
      <c r="AF244" t="str">
        <f t="shared" si="23"/>
        <v>Off</v>
      </c>
      <c r="AG244" t="str">
        <f t="shared" si="23"/>
        <v>Off</v>
      </c>
      <c r="AH244" t="str">
        <f t="shared" si="23"/>
        <v>Off</v>
      </c>
      <c r="AI244" t="str">
        <f t="shared" si="23"/>
        <v>Off</v>
      </c>
      <c r="AJ244" t="str">
        <f t="shared" si="23"/>
        <v>Off</v>
      </c>
      <c r="AK244" t="str">
        <f t="shared" si="23"/>
        <v>Off</v>
      </c>
      <c r="AL244" t="str">
        <f t="shared" si="23"/>
        <v>Off</v>
      </c>
      <c r="AM244" t="str">
        <f t="shared" si="23"/>
        <v>Off</v>
      </c>
      <c r="AN244" t="str">
        <f t="shared" si="23"/>
        <v>Off</v>
      </c>
      <c r="AO244" t="str">
        <f t="shared" si="23"/>
        <v>Off</v>
      </c>
      <c r="AP244" t="str">
        <f t="shared" si="24"/>
        <v>Off</v>
      </c>
      <c r="AQ244" t="str">
        <f t="shared" si="24"/>
        <v>Off</v>
      </c>
      <c r="AR244" t="str">
        <f t="shared" si="24"/>
        <v>Off</v>
      </c>
      <c r="AS244" t="str">
        <f t="shared" si="24"/>
        <v>Off</v>
      </c>
      <c r="AT244" t="str">
        <f t="shared" si="24"/>
        <v>Off</v>
      </c>
      <c r="AU244" t="str">
        <f t="shared" si="24"/>
        <v>Off</v>
      </c>
      <c r="AV244" t="str">
        <f t="shared" si="24"/>
        <v>Off</v>
      </c>
      <c r="AW244" t="str">
        <f t="shared" si="24"/>
        <v>Off</v>
      </c>
      <c r="AX244" t="str">
        <f t="shared" si="24"/>
        <v>Off</v>
      </c>
      <c r="AY244" t="str">
        <f t="shared" si="24"/>
        <v>Off</v>
      </c>
      <c r="AZ244" t="str">
        <f t="shared" si="25"/>
        <v>Off</v>
      </c>
      <c r="BA244" t="str">
        <f t="shared" si="25"/>
        <v>Off</v>
      </c>
      <c r="BB244" t="str">
        <f t="shared" si="25"/>
        <v>Off</v>
      </c>
      <c r="BC244" t="str">
        <f t="shared" si="25"/>
        <v>Off</v>
      </c>
      <c r="BD244" t="str">
        <f t="shared" si="25"/>
        <v>Off</v>
      </c>
      <c r="BE244" t="str">
        <f t="shared" si="25"/>
        <v>Off</v>
      </c>
      <c r="BF244" t="str">
        <f t="shared" si="25"/>
        <v>Off</v>
      </c>
      <c r="BG244" t="str">
        <f t="shared" si="25"/>
        <v>Off</v>
      </c>
      <c r="BH244" t="str">
        <f t="shared" si="25"/>
        <v>Off</v>
      </c>
      <c r="BI244" t="str">
        <f t="shared" si="25"/>
        <v>Off</v>
      </c>
      <c r="BJ244" t="str">
        <f t="shared" si="26"/>
        <v>Off</v>
      </c>
      <c r="BK244" t="str">
        <f t="shared" si="26"/>
        <v>Off</v>
      </c>
      <c r="BL244" t="str">
        <f t="shared" si="26"/>
        <v>Off</v>
      </c>
      <c r="BM244" t="str">
        <f t="shared" si="26"/>
        <v>Off</v>
      </c>
      <c r="BN244" t="str">
        <f t="shared" si="26"/>
        <v>Off</v>
      </c>
      <c r="BO244" t="str">
        <f t="shared" si="26"/>
        <v>Off</v>
      </c>
      <c r="BP244" t="str">
        <f t="shared" si="26"/>
        <v>Off</v>
      </c>
      <c r="BQ244" t="str">
        <f t="shared" si="26"/>
        <v>Off</v>
      </c>
      <c r="BR244" t="str">
        <f t="shared" si="26"/>
        <v>Off</v>
      </c>
      <c r="BS244" t="str">
        <f t="shared" si="26"/>
        <v>Off</v>
      </c>
      <c r="BT244" t="str">
        <f t="shared" si="27"/>
        <v>Off</v>
      </c>
      <c r="BU244" t="str">
        <f t="shared" si="27"/>
        <v>Off</v>
      </c>
      <c r="BV244" t="str">
        <f t="shared" si="27"/>
        <v>Off</v>
      </c>
      <c r="BW244" t="str">
        <f t="shared" si="27"/>
        <v>Off</v>
      </c>
      <c r="BX244" t="str">
        <f t="shared" si="27"/>
        <v>Off</v>
      </c>
      <c r="BY244" t="str">
        <f t="shared" si="27"/>
        <v>Off</v>
      </c>
      <c r="BZ244" t="str">
        <f t="shared" si="27"/>
        <v>Off</v>
      </c>
      <c r="CA244" t="str">
        <f t="shared" si="27"/>
        <v>Off</v>
      </c>
      <c r="CB244" t="str">
        <f t="shared" si="27"/>
        <v>Off</v>
      </c>
      <c r="CC244" t="str">
        <f t="shared" si="27"/>
        <v>Off</v>
      </c>
      <c r="CD244" t="str">
        <f t="shared" si="28"/>
        <v>Off</v>
      </c>
      <c r="CE244" t="str">
        <f t="shared" si="28"/>
        <v>Off</v>
      </c>
      <c r="CF244" t="str">
        <f t="shared" si="28"/>
        <v>Off</v>
      </c>
      <c r="CG244" t="str">
        <f t="shared" si="28"/>
        <v>Off</v>
      </c>
      <c r="CH244" t="str">
        <f t="shared" si="28"/>
        <v>Off</v>
      </c>
      <c r="CI244" t="str">
        <f t="shared" si="28"/>
        <v>Off</v>
      </c>
      <c r="CJ244" t="str">
        <f t="shared" si="28"/>
        <v>Off</v>
      </c>
      <c r="CK244" t="str">
        <f t="shared" si="28"/>
        <v>Off</v>
      </c>
      <c r="CL244" t="str">
        <f t="shared" si="28"/>
        <v>Off</v>
      </c>
      <c r="CM244" t="str">
        <f t="shared" si="28"/>
        <v>Off</v>
      </c>
      <c r="CN244" t="str">
        <f t="shared" si="29"/>
        <v>Off</v>
      </c>
      <c r="CO244" t="str">
        <f t="shared" si="29"/>
        <v>Off</v>
      </c>
      <c r="CP244" t="str">
        <f t="shared" si="29"/>
        <v>Off</v>
      </c>
      <c r="CQ244" t="str">
        <f t="shared" si="29"/>
        <v>Off</v>
      </c>
      <c r="CR244" t="str">
        <f t="shared" si="29"/>
        <v>Off</v>
      </c>
      <c r="CS244" t="str">
        <f t="shared" si="29"/>
        <v>Off</v>
      </c>
      <c r="CT244" t="str">
        <f t="shared" si="29"/>
        <v>Off</v>
      </c>
      <c r="CU244" t="str">
        <f t="shared" si="29"/>
        <v>Off</v>
      </c>
      <c r="CV244" t="str">
        <f t="shared" si="29"/>
        <v>Off</v>
      </c>
      <c r="CW244" t="str">
        <f t="shared" si="29"/>
        <v>Off</v>
      </c>
    </row>
    <row r="245" spans="1:101">
      <c r="A245" t="s">
        <v>1304</v>
      </c>
      <c r="B245" t="str">
        <f t="shared" si="20"/>
        <v>Off</v>
      </c>
      <c r="C245" t="str">
        <f t="shared" si="20"/>
        <v>Off</v>
      </c>
      <c r="D245" t="str">
        <f t="shared" si="20"/>
        <v>Off</v>
      </c>
      <c r="E245" t="str">
        <f t="shared" si="20"/>
        <v>Off</v>
      </c>
      <c r="F245" t="str">
        <f t="shared" si="20"/>
        <v>Off</v>
      </c>
      <c r="G245" t="str">
        <f t="shared" si="20"/>
        <v>Off</v>
      </c>
      <c r="H245" t="str">
        <f t="shared" si="20"/>
        <v>Off</v>
      </c>
      <c r="I245" t="str">
        <f t="shared" si="20"/>
        <v>Off</v>
      </c>
      <c r="J245" t="str">
        <f t="shared" si="20"/>
        <v>Off</v>
      </c>
      <c r="K245" t="str">
        <f t="shared" si="20"/>
        <v>Off</v>
      </c>
      <c r="L245" t="str">
        <f t="shared" si="21"/>
        <v>Off</v>
      </c>
      <c r="M245" t="str">
        <f t="shared" si="21"/>
        <v>Off</v>
      </c>
      <c r="N245" t="str">
        <f t="shared" si="21"/>
        <v>Off</v>
      </c>
      <c r="O245" t="str">
        <f t="shared" si="21"/>
        <v>Off</v>
      </c>
      <c r="P245" t="str">
        <f t="shared" si="21"/>
        <v>Off</v>
      </c>
      <c r="Q245" t="str">
        <f t="shared" si="21"/>
        <v>Off</v>
      </c>
      <c r="R245" t="str">
        <f t="shared" si="21"/>
        <v>Off</v>
      </c>
      <c r="S245" t="str">
        <f t="shared" si="21"/>
        <v>Off</v>
      </c>
      <c r="T245" t="str">
        <f t="shared" si="21"/>
        <v>Off</v>
      </c>
      <c r="U245" t="str">
        <f t="shared" si="21"/>
        <v>Off</v>
      </c>
      <c r="V245" t="str">
        <f t="shared" si="22"/>
        <v>Off</v>
      </c>
      <c r="W245" t="str">
        <f t="shared" si="22"/>
        <v>Off</v>
      </c>
      <c r="X245" t="str">
        <f t="shared" si="22"/>
        <v>Off</v>
      </c>
      <c r="Y245" t="str">
        <f t="shared" si="22"/>
        <v>Off</v>
      </c>
      <c r="Z245" t="str">
        <f t="shared" si="22"/>
        <v>Off</v>
      </c>
      <c r="AA245" t="str">
        <f t="shared" si="22"/>
        <v>Off</v>
      </c>
      <c r="AB245" t="str">
        <f t="shared" si="22"/>
        <v>Off</v>
      </c>
      <c r="AC245" t="str">
        <f t="shared" si="22"/>
        <v>Off</v>
      </c>
      <c r="AD245" t="str">
        <f t="shared" si="22"/>
        <v>Off</v>
      </c>
      <c r="AE245" t="str">
        <f t="shared" si="22"/>
        <v>Off</v>
      </c>
      <c r="AF245" t="str">
        <f t="shared" si="23"/>
        <v>Off</v>
      </c>
      <c r="AG245" t="str">
        <f t="shared" si="23"/>
        <v>Off</v>
      </c>
      <c r="AH245" t="str">
        <f t="shared" si="23"/>
        <v>Off</v>
      </c>
      <c r="AI245" t="str">
        <f t="shared" si="23"/>
        <v>Off</v>
      </c>
      <c r="AJ245" t="str">
        <f t="shared" si="23"/>
        <v>Off</v>
      </c>
      <c r="AK245" t="str">
        <f t="shared" si="23"/>
        <v>Off</v>
      </c>
      <c r="AL245" t="str">
        <f t="shared" si="23"/>
        <v>Off</v>
      </c>
      <c r="AM245" t="str">
        <f t="shared" si="23"/>
        <v>Off</v>
      </c>
      <c r="AN245" t="str">
        <f t="shared" si="23"/>
        <v>Off</v>
      </c>
      <c r="AO245" t="str">
        <f t="shared" si="23"/>
        <v>Off</v>
      </c>
      <c r="AP245" t="str">
        <f t="shared" si="24"/>
        <v>Off</v>
      </c>
      <c r="AQ245" t="str">
        <f t="shared" si="24"/>
        <v>Off</v>
      </c>
      <c r="AR245" t="str">
        <f t="shared" si="24"/>
        <v>Off</v>
      </c>
      <c r="AS245" t="str">
        <f t="shared" si="24"/>
        <v>Off</v>
      </c>
      <c r="AT245" t="str">
        <f t="shared" si="24"/>
        <v>Off</v>
      </c>
      <c r="AU245" t="str">
        <f t="shared" si="24"/>
        <v>Off</v>
      </c>
      <c r="AV245" t="str">
        <f t="shared" si="24"/>
        <v>Off</v>
      </c>
      <c r="AW245" t="str">
        <f t="shared" si="24"/>
        <v>Off</v>
      </c>
      <c r="AX245" t="str">
        <f t="shared" si="24"/>
        <v>Off</v>
      </c>
      <c r="AY245" t="str">
        <f t="shared" si="24"/>
        <v>Off</v>
      </c>
      <c r="AZ245" t="str">
        <f t="shared" si="25"/>
        <v>Off</v>
      </c>
      <c r="BA245" t="str">
        <f t="shared" si="25"/>
        <v>Off</v>
      </c>
      <c r="BB245" t="str">
        <f t="shared" si="25"/>
        <v>Off</v>
      </c>
      <c r="BC245" t="str">
        <f t="shared" si="25"/>
        <v>Off</v>
      </c>
      <c r="BD245" t="str">
        <f t="shared" si="25"/>
        <v>Off</v>
      </c>
      <c r="BE245" t="str">
        <f t="shared" si="25"/>
        <v>Off</v>
      </c>
      <c r="BF245" t="str">
        <f t="shared" si="25"/>
        <v>Off</v>
      </c>
      <c r="BG245" t="str">
        <f t="shared" si="25"/>
        <v>Off</v>
      </c>
      <c r="BH245" t="str">
        <f t="shared" si="25"/>
        <v>Off</v>
      </c>
      <c r="BI245" t="str">
        <f t="shared" si="25"/>
        <v>Off</v>
      </c>
      <c r="BJ245" t="str">
        <f t="shared" si="26"/>
        <v>Off</v>
      </c>
      <c r="BK245" t="str">
        <f t="shared" si="26"/>
        <v>Off</v>
      </c>
      <c r="BL245" t="str">
        <f t="shared" si="26"/>
        <v>Off</v>
      </c>
      <c r="BM245" t="str">
        <f t="shared" si="26"/>
        <v>Off</v>
      </c>
      <c r="BN245" t="str">
        <f t="shared" si="26"/>
        <v>Off</v>
      </c>
      <c r="BO245" t="str">
        <f t="shared" si="26"/>
        <v>Off</v>
      </c>
      <c r="BP245" t="str">
        <f t="shared" si="26"/>
        <v>Off</v>
      </c>
      <c r="BQ245" t="str">
        <f t="shared" si="26"/>
        <v>Off</v>
      </c>
      <c r="BR245" t="str">
        <f t="shared" si="26"/>
        <v>Off</v>
      </c>
      <c r="BS245" t="str">
        <f t="shared" si="26"/>
        <v>Off</v>
      </c>
      <c r="BT245" t="str">
        <f t="shared" si="27"/>
        <v>Off</v>
      </c>
      <c r="BU245" t="str">
        <f t="shared" si="27"/>
        <v>Off</v>
      </c>
      <c r="BV245" t="str">
        <f t="shared" si="27"/>
        <v>Off</v>
      </c>
      <c r="BW245" t="str">
        <f t="shared" si="27"/>
        <v>Off</v>
      </c>
      <c r="BX245" t="str">
        <f t="shared" si="27"/>
        <v>Off</v>
      </c>
      <c r="BY245" t="str">
        <f t="shared" si="27"/>
        <v>Off</v>
      </c>
      <c r="BZ245" t="str">
        <f t="shared" si="27"/>
        <v>Off</v>
      </c>
      <c r="CA245" t="str">
        <f t="shared" si="27"/>
        <v>Off</v>
      </c>
      <c r="CB245" t="str">
        <f t="shared" si="27"/>
        <v>Off</v>
      </c>
      <c r="CC245" t="str">
        <f t="shared" si="27"/>
        <v>Off</v>
      </c>
      <c r="CD245" t="str">
        <f t="shared" si="28"/>
        <v>Off</v>
      </c>
      <c r="CE245" t="str">
        <f t="shared" si="28"/>
        <v>Off</v>
      </c>
      <c r="CF245" t="str">
        <f t="shared" si="28"/>
        <v>Off</v>
      </c>
      <c r="CG245" t="str">
        <f t="shared" si="28"/>
        <v>Off</v>
      </c>
      <c r="CH245" t="str">
        <f t="shared" si="28"/>
        <v>Off</v>
      </c>
      <c r="CI245" t="str">
        <f t="shared" si="28"/>
        <v>Off</v>
      </c>
      <c r="CJ245" t="str">
        <f t="shared" si="28"/>
        <v>Off</v>
      </c>
      <c r="CK245" t="str">
        <f t="shared" si="28"/>
        <v>Off</v>
      </c>
      <c r="CL245" t="str">
        <f t="shared" si="28"/>
        <v>Off</v>
      </c>
      <c r="CM245" t="str">
        <f t="shared" si="28"/>
        <v>Off</v>
      </c>
      <c r="CN245" t="str">
        <f t="shared" si="29"/>
        <v>Off</v>
      </c>
      <c r="CO245" t="str">
        <f t="shared" si="29"/>
        <v>Off</v>
      </c>
      <c r="CP245" t="str">
        <f t="shared" si="29"/>
        <v>Off</v>
      </c>
      <c r="CQ245" t="str">
        <f t="shared" si="29"/>
        <v>Off</v>
      </c>
      <c r="CR245" t="str">
        <f t="shared" si="29"/>
        <v>Off</v>
      </c>
      <c r="CS245" t="str">
        <f t="shared" si="29"/>
        <v>Off</v>
      </c>
      <c r="CT245" t="str">
        <f t="shared" si="29"/>
        <v>Off</v>
      </c>
      <c r="CU245" t="str">
        <f t="shared" si="29"/>
        <v>Off</v>
      </c>
      <c r="CV245" t="str">
        <f t="shared" si="29"/>
        <v>Off</v>
      </c>
      <c r="CW245" t="str">
        <f t="shared" si="29"/>
        <v>Off</v>
      </c>
    </row>
    <row r="246" spans="1:101">
      <c r="A246" t="s">
        <v>1305</v>
      </c>
      <c r="B246" t="str">
        <f t="shared" si="20"/>
        <v>Off</v>
      </c>
      <c r="C246" t="str">
        <f t="shared" si="20"/>
        <v>Off</v>
      </c>
      <c r="D246" t="str">
        <f t="shared" si="20"/>
        <v>Off</v>
      </c>
      <c r="E246" t="str">
        <f t="shared" si="20"/>
        <v>Off</v>
      </c>
      <c r="F246" t="str">
        <f t="shared" si="20"/>
        <v>Off</v>
      </c>
      <c r="G246" t="str">
        <f t="shared" si="20"/>
        <v>Off</v>
      </c>
      <c r="H246" t="str">
        <f t="shared" si="20"/>
        <v>Off</v>
      </c>
      <c r="I246" t="str">
        <f t="shared" si="20"/>
        <v>Off</v>
      </c>
      <c r="J246" t="str">
        <f t="shared" si="20"/>
        <v>Off</v>
      </c>
      <c r="K246" t="str">
        <f t="shared" si="20"/>
        <v>Off</v>
      </c>
      <c r="L246" t="str">
        <f t="shared" si="21"/>
        <v>Off</v>
      </c>
      <c r="M246" t="str">
        <f t="shared" si="21"/>
        <v>Off</v>
      </c>
      <c r="N246" t="str">
        <f t="shared" si="21"/>
        <v>Off</v>
      </c>
      <c r="O246" t="str">
        <f t="shared" si="21"/>
        <v>Off</v>
      </c>
      <c r="P246" t="str">
        <f t="shared" si="21"/>
        <v>Off</v>
      </c>
      <c r="Q246" t="str">
        <f t="shared" si="21"/>
        <v>Off</v>
      </c>
      <c r="R246" t="str">
        <f t="shared" si="21"/>
        <v>Off</v>
      </c>
      <c r="S246" t="str">
        <f t="shared" si="21"/>
        <v>Off</v>
      </c>
      <c r="T246" t="str">
        <f t="shared" si="21"/>
        <v>Off</v>
      </c>
      <c r="U246" t="str">
        <f t="shared" si="21"/>
        <v>Off</v>
      </c>
      <c r="V246" t="str">
        <f t="shared" si="22"/>
        <v>Off</v>
      </c>
      <c r="W246" t="str">
        <f t="shared" si="22"/>
        <v>Off</v>
      </c>
      <c r="X246" t="str">
        <f t="shared" si="22"/>
        <v>Off</v>
      </c>
      <c r="Y246" t="str">
        <f t="shared" si="22"/>
        <v>Off</v>
      </c>
      <c r="Z246" t="str">
        <f t="shared" si="22"/>
        <v>Off</v>
      </c>
      <c r="AA246" t="str">
        <f t="shared" si="22"/>
        <v>Off</v>
      </c>
      <c r="AB246" t="str">
        <f t="shared" si="22"/>
        <v>Off</v>
      </c>
      <c r="AC246" t="str">
        <f t="shared" si="22"/>
        <v>Off</v>
      </c>
      <c r="AD246" t="str">
        <f t="shared" si="22"/>
        <v>Off</v>
      </c>
      <c r="AE246" t="str">
        <f t="shared" si="22"/>
        <v>Off</v>
      </c>
      <c r="AF246" t="str">
        <f t="shared" si="23"/>
        <v>Off</v>
      </c>
      <c r="AG246" t="str">
        <f t="shared" si="23"/>
        <v>Off</v>
      </c>
      <c r="AH246" t="str">
        <f t="shared" si="23"/>
        <v>Off</v>
      </c>
      <c r="AI246" t="str">
        <f t="shared" si="23"/>
        <v>Off</v>
      </c>
      <c r="AJ246" t="str">
        <f t="shared" si="23"/>
        <v>Off</v>
      </c>
      <c r="AK246" t="str">
        <f t="shared" si="23"/>
        <v>Off</v>
      </c>
      <c r="AL246" t="str">
        <f t="shared" si="23"/>
        <v>Off</v>
      </c>
      <c r="AM246" t="str">
        <f t="shared" si="23"/>
        <v>Off</v>
      </c>
      <c r="AN246" t="str">
        <f t="shared" si="23"/>
        <v>Off</v>
      </c>
      <c r="AO246" t="str">
        <f t="shared" si="23"/>
        <v>Off</v>
      </c>
      <c r="AP246" t="str">
        <f t="shared" si="24"/>
        <v>Off</v>
      </c>
      <c r="AQ246" t="str">
        <f t="shared" si="24"/>
        <v>Off</v>
      </c>
      <c r="AR246" t="str">
        <f t="shared" si="24"/>
        <v>Off</v>
      </c>
      <c r="AS246" t="str">
        <f t="shared" si="24"/>
        <v>Off</v>
      </c>
      <c r="AT246" t="str">
        <f t="shared" si="24"/>
        <v>Off</v>
      </c>
      <c r="AU246" t="str">
        <f t="shared" si="24"/>
        <v>Off</v>
      </c>
      <c r="AV246" t="str">
        <f t="shared" si="24"/>
        <v>Off</v>
      </c>
      <c r="AW246" t="str">
        <f t="shared" si="24"/>
        <v>Off</v>
      </c>
      <c r="AX246" t="str">
        <f t="shared" si="24"/>
        <v>Off</v>
      </c>
      <c r="AY246" t="str">
        <f t="shared" si="24"/>
        <v>Off</v>
      </c>
      <c r="AZ246" t="str">
        <f t="shared" si="25"/>
        <v>Off</v>
      </c>
      <c r="BA246" t="str">
        <f t="shared" si="25"/>
        <v>Off</v>
      </c>
      <c r="BB246" t="str">
        <f t="shared" si="25"/>
        <v>Off</v>
      </c>
      <c r="BC246" t="str">
        <f t="shared" si="25"/>
        <v>Off</v>
      </c>
      <c r="BD246" t="str">
        <f t="shared" si="25"/>
        <v>Off</v>
      </c>
      <c r="BE246" t="str">
        <f t="shared" si="25"/>
        <v>Off</v>
      </c>
      <c r="BF246" t="str">
        <f t="shared" si="25"/>
        <v>Off</v>
      </c>
      <c r="BG246" t="str">
        <f t="shared" si="25"/>
        <v>Off</v>
      </c>
      <c r="BH246" t="str">
        <f t="shared" si="25"/>
        <v>Off</v>
      </c>
      <c r="BI246" t="str">
        <f t="shared" si="25"/>
        <v>Off</v>
      </c>
      <c r="BJ246" t="str">
        <f t="shared" si="26"/>
        <v>Off</v>
      </c>
      <c r="BK246" t="str">
        <f t="shared" si="26"/>
        <v>Off</v>
      </c>
      <c r="BL246" t="str">
        <f t="shared" si="26"/>
        <v>Off</v>
      </c>
      <c r="BM246" t="str">
        <f t="shared" si="26"/>
        <v>Off</v>
      </c>
      <c r="BN246" t="str">
        <f t="shared" si="26"/>
        <v>Off</v>
      </c>
      <c r="BO246" t="str">
        <f t="shared" si="26"/>
        <v>Off</v>
      </c>
      <c r="BP246" t="str">
        <f t="shared" si="26"/>
        <v>Off</v>
      </c>
      <c r="BQ246" t="str">
        <f t="shared" si="26"/>
        <v>Off</v>
      </c>
      <c r="BR246" t="str">
        <f t="shared" si="26"/>
        <v>Off</v>
      </c>
      <c r="BS246" t="str">
        <f t="shared" si="26"/>
        <v>Off</v>
      </c>
      <c r="BT246" t="str">
        <f t="shared" si="27"/>
        <v>Off</v>
      </c>
      <c r="BU246" t="str">
        <f t="shared" si="27"/>
        <v>Off</v>
      </c>
      <c r="BV246" t="str">
        <f t="shared" si="27"/>
        <v>Off</v>
      </c>
      <c r="BW246" t="str">
        <f t="shared" si="27"/>
        <v>Off</v>
      </c>
      <c r="BX246" t="str">
        <f t="shared" si="27"/>
        <v>Off</v>
      </c>
      <c r="BY246" t="str">
        <f t="shared" si="27"/>
        <v>Off</v>
      </c>
      <c r="BZ246" t="str">
        <f t="shared" si="27"/>
        <v>Off</v>
      </c>
      <c r="CA246" t="str">
        <f t="shared" si="27"/>
        <v>Off</v>
      </c>
      <c r="CB246" t="str">
        <f t="shared" si="27"/>
        <v>Off</v>
      </c>
      <c r="CC246" t="str">
        <f t="shared" si="27"/>
        <v>Off</v>
      </c>
      <c r="CD246" t="str">
        <f t="shared" si="28"/>
        <v>Off</v>
      </c>
      <c r="CE246" t="str">
        <f t="shared" si="28"/>
        <v>Off</v>
      </c>
      <c r="CF246" t="str">
        <f t="shared" si="28"/>
        <v>Off</v>
      </c>
      <c r="CG246" t="str">
        <f t="shared" si="28"/>
        <v>Off</v>
      </c>
      <c r="CH246" t="str">
        <f t="shared" si="28"/>
        <v>Off</v>
      </c>
      <c r="CI246" t="str">
        <f t="shared" si="28"/>
        <v>Off</v>
      </c>
      <c r="CJ246" t="str">
        <f t="shared" si="28"/>
        <v>Off</v>
      </c>
      <c r="CK246" t="str">
        <f t="shared" si="28"/>
        <v>Off</v>
      </c>
      <c r="CL246" t="str">
        <f t="shared" si="28"/>
        <v>Off</v>
      </c>
      <c r="CM246" t="str">
        <f t="shared" si="28"/>
        <v>Off</v>
      </c>
      <c r="CN246" t="str">
        <f t="shared" si="29"/>
        <v>Off</v>
      </c>
      <c r="CO246" t="str">
        <f t="shared" si="29"/>
        <v>Off</v>
      </c>
      <c r="CP246" t="str">
        <f t="shared" si="29"/>
        <v>Off</v>
      </c>
      <c r="CQ246" t="str">
        <f t="shared" si="29"/>
        <v>Off</v>
      </c>
      <c r="CR246" t="str">
        <f t="shared" si="29"/>
        <v>Off</v>
      </c>
      <c r="CS246" t="str">
        <f t="shared" si="29"/>
        <v>Off</v>
      </c>
      <c r="CT246" t="str">
        <f t="shared" si="29"/>
        <v>Off</v>
      </c>
      <c r="CU246" t="str">
        <f t="shared" si="29"/>
        <v>Off</v>
      </c>
      <c r="CV246" t="str">
        <f t="shared" si="29"/>
        <v>Off</v>
      </c>
      <c r="CW246" t="str">
        <f t="shared" si="29"/>
        <v>Off</v>
      </c>
    </row>
    <row r="247" spans="1:101">
      <c r="A247" t="s">
        <v>1306</v>
      </c>
      <c r="B247" t="str">
        <f t="shared" si="20"/>
        <v>Off</v>
      </c>
      <c r="C247" t="str">
        <f t="shared" si="20"/>
        <v>Off</v>
      </c>
      <c r="D247" t="str">
        <f t="shared" si="20"/>
        <v>Off</v>
      </c>
      <c r="E247" t="str">
        <f t="shared" si="20"/>
        <v>Off</v>
      </c>
      <c r="F247" t="str">
        <f t="shared" si="20"/>
        <v>Off</v>
      </c>
      <c r="G247" t="str">
        <f t="shared" si="20"/>
        <v>Off</v>
      </c>
      <c r="H247" t="str">
        <f t="shared" si="20"/>
        <v>Off</v>
      </c>
      <c r="I247" t="str">
        <f t="shared" si="20"/>
        <v>Off</v>
      </c>
      <c r="J247" t="str">
        <f t="shared" si="20"/>
        <v>Off</v>
      </c>
      <c r="K247" t="str">
        <f t="shared" si="20"/>
        <v>Off</v>
      </c>
      <c r="L247" t="str">
        <f t="shared" si="21"/>
        <v>Off</v>
      </c>
      <c r="M247" t="str">
        <f t="shared" si="21"/>
        <v>Off</v>
      </c>
      <c r="N247" t="str">
        <f t="shared" si="21"/>
        <v>Off</v>
      </c>
      <c r="O247" t="str">
        <f t="shared" si="21"/>
        <v>Off</v>
      </c>
      <c r="P247" t="str">
        <f t="shared" si="21"/>
        <v>Off</v>
      </c>
      <c r="Q247" t="str">
        <f t="shared" si="21"/>
        <v>Off</v>
      </c>
      <c r="R247" t="str">
        <f t="shared" si="21"/>
        <v>Off</v>
      </c>
      <c r="S247" t="str">
        <f t="shared" si="21"/>
        <v>Off</v>
      </c>
      <c r="T247" t="str">
        <f t="shared" si="21"/>
        <v>Off</v>
      </c>
      <c r="U247" t="str">
        <f t="shared" si="21"/>
        <v>Off</v>
      </c>
      <c r="V247" t="str">
        <f t="shared" si="22"/>
        <v>Off</v>
      </c>
      <c r="W247" t="str">
        <f t="shared" si="22"/>
        <v>Off</v>
      </c>
      <c r="X247" t="str">
        <f t="shared" si="22"/>
        <v>Off</v>
      </c>
      <c r="Y247" t="str">
        <f t="shared" si="22"/>
        <v>Off</v>
      </c>
      <c r="Z247" t="str">
        <f t="shared" si="22"/>
        <v>Off</v>
      </c>
      <c r="AA247" t="str">
        <f t="shared" si="22"/>
        <v>Off</v>
      </c>
      <c r="AB247" t="str">
        <f t="shared" si="22"/>
        <v>Off</v>
      </c>
      <c r="AC247" t="str">
        <f t="shared" si="22"/>
        <v>Off</v>
      </c>
      <c r="AD247" t="str">
        <f t="shared" si="22"/>
        <v>Off</v>
      </c>
      <c r="AE247" t="str">
        <f t="shared" si="22"/>
        <v>Off</v>
      </c>
      <c r="AF247" t="str">
        <f t="shared" si="23"/>
        <v>Off</v>
      </c>
      <c r="AG247" t="str">
        <f t="shared" si="23"/>
        <v>Off</v>
      </c>
      <c r="AH247" t="str">
        <f t="shared" si="23"/>
        <v>Off</v>
      </c>
      <c r="AI247" t="str">
        <f t="shared" si="23"/>
        <v>Off</v>
      </c>
      <c r="AJ247" t="str">
        <f t="shared" si="23"/>
        <v>Off</v>
      </c>
      <c r="AK247" t="str">
        <f t="shared" si="23"/>
        <v>Off</v>
      </c>
      <c r="AL247" t="str">
        <f t="shared" si="23"/>
        <v>Off</v>
      </c>
      <c r="AM247" t="str">
        <f t="shared" si="23"/>
        <v>Off</v>
      </c>
      <c r="AN247" t="str">
        <f t="shared" si="23"/>
        <v>Off</v>
      </c>
      <c r="AO247" t="str">
        <f t="shared" si="23"/>
        <v>Off</v>
      </c>
      <c r="AP247" t="str">
        <f t="shared" si="24"/>
        <v>Off</v>
      </c>
      <c r="AQ247" t="str">
        <f t="shared" si="24"/>
        <v>Off</v>
      </c>
      <c r="AR247" t="str">
        <f t="shared" si="24"/>
        <v>Off</v>
      </c>
      <c r="AS247" t="str">
        <f t="shared" si="24"/>
        <v>Off</v>
      </c>
      <c r="AT247" t="str">
        <f t="shared" si="24"/>
        <v>Off</v>
      </c>
      <c r="AU247" t="str">
        <f t="shared" si="24"/>
        <v>Off</v>
      </c>
      <c r="AV247" t="str">
        <f t="shared" si="24"/>
        <v>Off</v>
      </c>
      <c r="AW247" t="str">
        <f t="shared" si="24"/>
        <v>Off</v>
      </c>
      <c r="AX247" t="str">
        <f t="shared" si="24"/>
        <v>Off</v>
      </c>
      <c r="AY247" t="str">
        <f t="shared" si="24"/>
        <v>Off</v>
      </c>
      <c r="AZ247" t="str">
        <f t="shared" si="25"/>
        <v>Off</v>
      </c>
      <c r="BA247" t="str">
        <f t="shared" si="25"/>
        <v>Off</v>
      </c>
      <c r="BB247" t="str">
        <f t="shared" si="25"/>
        <v>Off</v>
      </c>
      <c r="BC247" t="str">
        <f t="shared" si="25"/>
        <v>Off</v>
      </c>
      <c r="BD247" t="str">
        <f t="shared" si="25"/>
        <v>Off</v>
      </c>
      <c r="BE247" t="str">
        <f t="shared" si="25"/>
        <v>Off</v>
      </c>
      <c r="BF247" t="str">
        <f t="shared" si="25"/>
        <v>Off</v>
      </c>
      <c r="BG247" t="str">
        <f t="shared" si="25"/>
        <v>Off</v>
      </c>
      <c r="BH247" t="str">
        <f t="shared" si="25"/>
        <v>Off</v>
      </c>
      <c r="BI247" t="str">
        <f t="shared" si="25"/>
        <v>Off</v>
      </c>
      <c r="BJ247" t="str">
        <f t="shared" si="26"/>
        <v>Off</v>
      </c>
      <c r="BK247" t="str">
        <f t="shared" si="26"/>
        <v>Off</v>
      </c>
      <c r="BL247" t="str">
        <f t="shared" si="26"/>
        <v>Off</v>
      </c>
      <c r="BM247" t="str">
        <f t="shared" si="26"/>
        <v>Off</v>
      </c>
      <c r="BN247" t="str">
        <f t="shared" si="26"/>
        <v>Off</v>
      </c>
      <c r="BO247" t="str">
        <f t="shared" si="26"/>
        <v>Off</v>
      </c>
      <c r="BP247" t="str">
        <f t="shared" si="26"/>
        <v>Off</v>
      </c>
      <c r="BQ247" t="str">
        <f t="shared" si="26"/>
        <v>Off</v>
      </c>
      <c r="BR247" t="str">
        <f t="shared" si="26"/>
        <v>Off</v>
      </c>
      <c r="BS247" t="str">
        <f t="shared" si="26"/>
        <v>Off</v>
      </c>
      <c r="BT247" t="str">
        <f t="shared" si="27"/>
        <v>Off</v>
      </c>
      <c r="BU247" t="str">
        <f t="shared" si="27"/>
        <v>Off</v>
      </c>
      <c r="BV247" t="str">
        <f t="shared" si="27"/>
        <v>Off</v>
      </c>
      <c r="BW247" t="str">
        <f t="shared" si="27"/>
        <v>Off</v>
      </c>
      <c r="BX247" t="str">
        <f t="shared" si="27"/>
        <v>Off</v>
      </c>
      <c r="BY247" t="str">
        <f t="shared" si="27"/>
        <v>Off</v>
      </c>
      <c r="BZ247" t="str">
        <f t="shared" si="27"/>
        <v>Off</v>
      </c>
      <c r="CA247" t="str">
        <f t="shared" si="27"/>
        <v>Off</v>
      </c>
      <c r="CB247" t="str">
        <f t="shared" si="27"/>
        <v>Off</v>
      </c>
      <c r="CC247" t="str">
        <f t="shared" si="27"/>
        <v>Off</v>
      </c>
      <c r="CD247" t="str">
        <f t="shared" si="28"/>
        <v>Off</v>
      </c>
      <c r="CE247" t="str">
        <f t="shared" si="28"/>
        <v>Off</v>
      </c>
      <c r="CF247" t="str">
        <f t="shared" si="28"/>
        <v>Off</v>
      </c>
      <c r="CG247" t="str">
        <f t="shared" si="28"/>
        <v>Off</v>
      </c>
      <c r="CH247" t="str">
        <f t="shared" si="28"/>
        <v>Off</v>
      </c>
      <c r="CI247" t="str">
        <f t="shared" si="28"/>
        <v>Off</v>
      </c>
      <c r="CJ247" t="str">
        <f t="shared" si="28"/>
        <v>Off</v>
      </c>
      <c r="CK247" t="str">
        <f t="shared" si="28"/>
        <v>Off</v>
      </c>
      <c r="CL247" t="str">
        <f t="shared" si="28"/>
        <v>Off</v>
      </c>
      <c r="CM247" t="str">
        <f t="shared" si="28"/>
        <v>Off</v>
      </c>
      <c r="CN247" t="str">
        <f t="shared" si="29"/>
        <v>Off</v>
      </c>
      <c r="CO247" t="str">
        <f t="shared" si="29"/>
        <v>Off</v>
      </c>
      <c r="CP247" t="str">
        <f t="shared" si="29"/>
        <v>Off</v>
      </c>
      <c r="CQ247" t="str">
        <f t="shared" si="29"/>
        <v>Off</v>
      </c>
      <c r="CR247" t="str">
        <f t="shared" si="29"/>
        <v>Off</v>
      </c>
      <c r="CS247" t="str">
        <f t="shared" si="29"/>
        <v>Off</v>
      </c>
      <c r="CT247" t="str">
        <f t="shared" si="29"/>
        <v>Off</v>
      </c>
      <c r="CU247" t="str">
        <f t="shared" si="29"/>
        <v>Off</v>
      </c>
      <c r="CV247" t="str">
        <f t="shared" si="29"/>
        <v>Off</v>
      </c>
      <c r="CW247" t="str">
        <f t="shared" si="29"/>
        <v>Off</v>
      </c>
    </row>
    <row r="248" spans="1:101">
      <c r="A248" t="s">
        <v>1307</v>
      </c>
      <c r="B248" t="str">
        <f t="shared" si="20"/>
        <v>Off</v>
      </c>
      <c r="C248" t="str">
        <f t="shared" si="20"/>
        <v>Off</v>
      </c>
      <c r="D248" t="str">
        <f t="shared" si="20"/>
        <v>Off</v>
      </c>
      <c r="E248" t="str">
        <f t="shared" si="20"/>
        <v>Off</v>
      </c>
      <c r="F248" t="str">
        <f t="shared" si="20"/>
        <v>Off</v>
      </c>
      <c r="G248" t="str">
        <f t="shared" si="20"/>
        <v>Off</v>
      </c>
      <c r="H248" t="str">
        <f t="shared" si="20"/>
        <v>Off</v>
      </c>
      <c r="I248" t="str">
        <f t="shared" si="20"/>
        <v>Off</v>
      </c>
      <c r="J248" t="str">
        <f t="shared" si="20"/>
        <v>Off</v>
      </c>
      <c r="K248" t="str">
        <f t="shared" si="20"/>
        <v>Off</v>
      </c>
      <c r="L248" t="str">
        <f t="shared" si="21"/>
        <v>Off</v>
      </c>
      <c r="M248" t="str">
        <f t="shared" si="21"/>
        <v>Off</v>
      </c>
      <c r="N248" t="str">
        <f t="shared" si="21"/>
        <v>Off</v>
      </c>
      <c r="O248" t="str">
        <f t="shared" si="21"/>
        <v>Off</v>
      </c>
      <c r="P248" t="str">
        <f t="shared" si="21"/>
        <v>Off</v>
      </c>
      <c r="Q248" t="str">
        <f t="shared" si="21"/>
        <v>Off</v>
      </c>
      <c r="R248" t="str">
        <f t="shared" si="21"/>
        <v>Off</v>
      </c>
      <c r="S248" t="str">
        <f t="shared" si="21"/>
        <v>Off</v>
      </c>
      <c r="T248" t="str">
        <f t="shared" si="21"/>
        <v>Off</v>
      </c>
      <c r="U248" t="str">
        <f t="shared" si="21"/>
        <v>Off</v>
      </c>
      <c r="V248" t="str">
        <f t="shared" si="22"/>
        <v>Off</v>
      </c>
      <c r="W248" t="str">
        <f t="shared" si="22"/>
        <v>Off</v>
      </c>
      <c r="X248" t="str">
        <f t="shared" si="22"/>
        <v>Off</v>
      </c>
      <c r="Y248" t="str">
        <f t="shared" si="22"/>
        <v>Off</v>
      </c>
      <c r="Z248" t="str">
        <f t="shared" si="22"/>
        <v>Off</v>
      </c>
      <c r="AA248" t="str">
        <f t="shared" si="22"/>
        <v>Off</v>
      </c>
      <c r="AB248" t="str">
        <f t="shared" si="22"/>
        <v>Off</v>
      </c>
      <c r="AC248" t="str">
        <f t="shared" si="22"/>
        <v>Off</v>
      </c>
      <c r="AD248" t="str">
        <f t="shared" si="22"/>
        <v>Off</v>
      </c>
      <c r="AE248" t="str">
        <f t="shared" si="22"/>
        <v>Off</v>
      </c>
      <c r="AF248" t="str">
        <f t="shared" si="23"/>
        <v>Off</v>
      </c>
      <c r="AG248" t="str">
        <f t="shared" si="23"/>
        <v>Off</v>
      </c>
      <c r="AH248" t="str">
        <f t="shared" si="23"/>
        <v>Off</v>
      </c>
      <c r="AI248" t="str">
        <f t="shared" si="23"/>
        <v>Off</v>
      </c>
      <c r="AJ248" t="str">
        <f t="shared" si="23"/>
        <v>Off</v>
      </c>
      <c r="AK248" t="str">
        <f t="shared" si="23"/>
        <v>Off</v>
      </c>
      <c r="AL248" t="str">
        <f t="shared" si="23"/>
        <v>Off</v>
      </c>
      <c r="AM248" t="str">
        <f t="shared" si="23"/>
        <v>Off</v>
      </c>
      <c r="AN248" t="str">
        <f t="shared" si="23"/>
        <v>Off</v>
      </c>
      <c r="AO248" t="str">
        <f t="shared" si="23"/>
        <v>Off</v>
      </c>
      <c r="AP248" t="str">
        <f t="shared" si="24"/>
        <v>Off</v>
      </c>
      <c r="AQ248" t="str">
        <f t="shared" si="24"/>
        <v>Off</v>
      </c>
      <c r="AR248" t="str">
        <f t="shared" si="24"/>
        <v>Off</v>
      </c>
      <c r="AS248" t="str">
        <f t="shared" si="24"/>
        <v>Off</v>
      </c>
      <c r="AT248" t="str">
        <f t="shared" si="24"/>
        <v>Off</v>
      </c>
      <c r="AU248" t="str">
        <f t="shared" si="24"/>
        <v>Off</v>
      </c>
      <c r="AV248" t="str">
        <f t="shared" si="24"/>
        <v>Off</v>
      </c>
      <c r="AW248" t="str">
        <f t="shared" si="24"/>
        <v>Off</v>
      </c>
      <c r="AX248" t="str">
        <f t="shared" si="24"/>
        <v>Off</v>
      </c>
      <c r="AY248" t="str">
        <f t="shared" si="24"/>
        <v>Off</v>
      </c>
      <c r="AZ248" t="str">
        <f t="shared" si="25"/>
        <v>Off</v>
      </c>
      <c r="BA248" t="str">
        <f t="shared" si="25"/>
        <v>Off</v>
      </c>
      <c r="BB248" t="str">
        <f t="shared" si="25"/>
        <v>Off</v>
      </c>
      <c r="BC248" t="str">
        <f t="shared" si="25"/>
        <v>Off</v>
      </c>
      <c r="BD248" t="str">
        <f t="shared" si="25"/>
        <v>Off</v>
      </c>
      <c r="BE248" t="str">
        <f t="shared" si="25"/>
        <v>Off</v>
      </c>
      <c r="BF248" t="str">
        <f t="shared" si="25"/>
        <v>Off</v>
      </c>
      <c r="BG248" t="str">
        <f t="shared" si="25"/>
        <v>Off</v>
      </c>
      <c r="BH248" t="str">
        <f t="shared" si="25"/>
        <v>Off</v>
      </c>
      <c r="BI248" t="str">
        <f t="shared" si="25"/>
        <v>Off</v>
      </c>
      <c r="BJ248" t="str">
        <f t="shared" si="26"/>
        <v>Off</v>
      </c>
      <c r="BK248" t="str">
        <f t="shared" si="26"/>
        <v>Off</v>
      </c>
      <c r="BL248" t="str">
        <f t="shared" si="26"/>
        <v>Off</v>
      </c>
      <c r="BM248" t="str">
        <f t="shared" si="26"/>
        <v>Off</v>
      </c>
      <c r="BN248" t="str">
        <f t="shared" si="26"/>
        <v>Off</v>
      </c>
      <c r="BO248" t="str">
        <f t="shared" si="26"/>
        <v>Off</v>
      </c>
      <c r="BP248" t="str">
        <f t="shared" si="26"/>
        <v>Off</v>
      </c>
      <c r="BQ248" t="str">
        <f t="shared" si="26"/>
        <v>Off</v>
      </c>
      <c r="BR248" t="str">
        <f t="shared" si="26"/>
        <v>Off</v>
      </c>
      <c r="BS248" t="str">
        <f t="shared" si="26"/>
        <v>Off</v>
      </c>
      <c r="BT248" t="str">
        <f t="shared" si="27"/>
        <v>Off</v>
      </c>
      <c r="BU248" t="str">
        <f t="shared" si="27"/>
        <v>Off</v>
      </c>
      <c r="BV248" t="str">
        <f t="shared" si="27"/>
        <v>Off</v>
      </c>
      <c r="BW248" t="str">
        <f t="shared" si="27"/>
        <v>Off</v>
      </c>
      <c r="BX248" t="str">
        <f t="shared" si="27"/>
        <v>Off</v>
      </c>
      <c r="BY248" t="str">
        <f t="shared" si="27"/>
        <v>Off</v>
      </c>
      <c r="BZ248" t="str">
        <f t="shared" si="27"/>
        <v>Off</v>
      </c>
      <c r="CA248" t="str">
        <f t="shared" si="27"/>
        <v>Off</v>
      </c>
      <c r="CB248" t="str">
        <f t="shared" si="27"/>
        <v>Off</v>
      </c>
      <c r="CC248" t="str">
        <f t="shared" si="27"/>
        <v>Off</v>
      </c>
      <c r="CD248" t="str">
        <f t="shared" si="28"/>
        <v>Off</v>
      </c>
      <c r="CE248" t="str">
        <f t="shared" si="28"/>
        <v>Off</v>
      </c>
      <c r="CF248" t="str">
        <f t="shared" si="28"/>
        <v>Off</v>
      </c>
      <c r="CG248" t="str">
        <f t="shared" si="28"/>
        <v>Off</v>
      </c>
      <c r="CH248" t="str">
        <f t="shared" si="28"/>
        <v>Off</v>
      </c>
      <c r="CI248" t="str">
        <f t="shared" si="28"/>
        <v>Off</v>
      </c>
      <c r="CJ248" t="str">
        <f t="shared" si="28"/>
        <v>Off</v>
      </c>
      <c r="CK248" t="str">
        <f t="shared" si="28"/>
        <v>Off</v>
      </c>
      <c r="CL248" t="str">
        <f t="shared" si="28"/>
        <v>Off</v>
      </c>
      <c r="CM248" t="str">
        <f t="shared" si="28"/>
        <v>Off</v>
      </c>
      <c r="CN248" t="str">
        <f t="shared" si="29"/>
        <v>Off</v>
      </c>
      <c r="CO248" t="str">
        <f t="shared" si="29"/>
        <v>Off</v>
      </c>
      <c r="CP248" t="str">
        <f t="shared" si="29"/>
        <v>Off</v>
      </c>
      <c r="CQ248" t="str">
        <f t="shared" si="29"/>
        <v>Off</v>
      </c>
      <c r="CR248" t="str">
        <f t="shared" si="29"/>
        <v>Off</v>
      </c>
      <c r="CS248" t="str">
        <f t="shared" si="29"/>
        <v>Off</v>
      </c>
      <c r="CT248" t="str">
        <f t="shared" si="29"/>
        <v>Off</v>
      </c>
      <c r="CU248" t="str">
        <f t="shared" si="29"/>
        <v>Off</v>
      </c>
      <c r="CV248" t="str">
        <f t="shared" si="29"/>
        <v>Off</v>
      </c>
      <c r="CW248" t="str">
        <f t="shared" si="29"/>
        <v>Off</v>
      </c>
    </row>
    <row r="249" spans="1:101">
      <c r="A249" t="s">
        <v>1308</v>
      </c>
      <c r="B249" t="str">
        <f t="shared" si="20"/>
        <v>Off</v>
      </c>
      <c r="C249" t="str">
        <f t="shared" si="20"/>
        <v>Off</v>
      </c>
      <c r="D249" t="str">
        <f t="shared" si="20"/>
        <v>Off</v>
      </c>
      <c r="E249" t="str">
        <f t="shared" si="20"/>
        <v>Off</v>
      </c>
      <c r="F249" t="str">
        <f t="shared" si="20"/>
        <v>Off</v>
      </c>
      <c r="G249" t="str">
        <f t="shared" si="20"/>
        <v>Off</v>
      </c>
      <c r="H249" t="str">
        <f t="shared" si="20"/>
        <v>Off</v>
      </c>
      <c r="I249" t="str">
        <f t="shared" si="20"/>
        <v>Off</v>
      </c>
      <c r="J249" t="str">
        <f t="shared" si="20"/>
        <v>Off</v>
      </c>
      <c r="K249" t="str">
        <f t="shared" si="20"/>
        <v>Off</v>
      </c>
      <c r="L249" t="str">
        <f t="shared" si="21"/>
        <v>Off</v>
      </c>
      <c r="M249" t="str">
        <f t="shared" si="21"/>
        <v>Off</v>
      </c>
      <c r="N249" t="str">
        <f t="shared" si="21"/>
        <v>Off</v>
      </c>
      <c r="O249" t="str">
        <f t="shared" si="21"/>
        <v>Off</v>
      </c>
      <c r="P249" t="str">
        <f t="shared" si="21"/>
        <v>Off</v>
      </c>
      <c r="Q249" t="str">
        <f t="shared" si="21"/>
        <v>Off</v>
      </c>
      <c r="R249" t="str">
        <f t="shared" si="21"/>
        <v>Off</v>
      </c>
      <c r="S249" t="str">
        <f t="shared" si="21"/>
        <v>Off</v>
      </c>
      <c r="T249" t="str">
        <f t="shared" si="21"/>
        <v>Off</v>
      </c>
      <c r="U249" t="str">
        <f t="shared" si="21"/>
        <v>Off</v>
      </c>
      <c r="V249" t="str">
        <f t="shared" si="22"/>
        <v>Off</v>
      </c>
      <c r="W249" t="str">
        <f t="shared" si="22"/>
        <v>Off</v>
      </c>
      <c r="X249" t="str">
        <f t="shared" si="22"/>
        <v>Off</v>
      </c>
      <c r="Y249" t="str">
        <f t="shared" si="22"/>
        <v>Off</v>
      </c>
      <c r="Z249" t="str">
        <f t="shared" si="22"/>
        <v>Off</v>
      </c>
      <c r="AA249" t="str">
        <f t="shared" si="22"/>
        <v>Off</v>
      </c>
      <c r="AB249" t="str">
        <f t="shared" si="22"/>
        <v>Off</v>
      </c>
      <c r="AC249" t="str">
        <f t="shared" si="22"/>
        <v>Off</v>
      </c>
      <c r="AD249" t="str">
        <f t="shared" si="22"/>
        <v>Off</v>
      </c>
      <c r="AE249" t="str">
        <f t="shared" si="22"/>
        <v>Off</v>
      </c>
      <c r="AF249" t="str">
        <f t="shared" si="23"/>
        <v>Off</v>
      </c>
      <c r="AG249" t="str">
        <f t="shared" si="23"/>
        <v>Off</v>
      </c>
      <c r="AH249" t="str">
        <f t="shared" si="23"/>
        <v>Off</v>
      </c>
      <c r="AI249" t="str">
        <f t="shared" si="23"/>
        <v>Off</v>
      </c>
      <c r="AJ249" t="str">
        <f t="shared" si="23"/>
        <v>Off</v>
      </c>
      <c r="AK249" t="str">
        <f t="shared" si="23"/>
        <v>Off</v>
      </c>
      <c r="AL249" t="str">
        <f t="shared" si="23"/>
        <v>Off</v>
      </c>
      <c r="AM249" t="str">
        <f t="shared" si="23"/>
        <v>Off</v>
      </c>
      <c r="AN249" t="str">
        <f t="shared" si="23"/>
        <v>Off</v>
      </c>
      <c r="AO249" t="str">
        <f t="shared" si="23"/>
        <v>Off</v>
      </c>
      <c r="AP249" t="str">
        <f t="shared" si="24"/>
        <v>Off</v>
      </c>
      <c r="AQ249" t="str">
        <f t="shared" si="24"/>
        <v>Off</v>
      </c>
      <c r="AR249" t="str">
        <f t="shared" si="24"/>
        <v>Off</v>
      </c>
      <c r="AS249" t="str">
        <f t="shared" si="24"/>
        <v>Off</v>
      </c>
      <c r="AT249" t="str">
        <f t="shared" si="24"/>
        <v>Off</v>
      </c>
      <c r="AU249" t="str">
        <f t="shared" si="24"/>
        <v>Off</v>
      </c>
      <c r="AV249" t="str">
        <f t="shared" si="24"/>
        <v>Off</v>
      </c>
      <c r="AW249" t="str">
        <f t="shared" si="24"/>
        <v>Off</v>
      </c>
      <c r="AX249" t="str">
        <f t="shared" si="24"/>
        <v>Off</v>
      </c>
      <c r="AY249" t="str">
        <f t="shared" si="24"/>
        <v>Off</v>
      </c>
      <c r="AZ249" t="str">
        <f t="shared" si="25"/>
        <v>Off</v>
      </c>
      <c r="BA249" t="str">
        <f t="shared" si="25"/>
        <v>Off</v>
      </c>
      <c r="BB249" t="str">
        <f t="shared" si="25"/>
        <v>Off</v>
      </c>
      <c r="BC249" t="str">
        <f t="shared" si="25"/>
        <v>Off</v>
      </c>
      <c r="BD249" t="str">
        <f t="shared" si="25"/>
        <v>Off</v>
      </c>
      <c r="BE249" t="str">
        <f t="shared" si="25"/>
        <v>Off</v>
      </c>
      <c r="BF249" t="str">
        <f t="shared" si="25"/>
        <v>Off</v>
      </c>
      <c r="BG249" t="str">
        <f t="shared" si="25"/>
        <v>Off</v>
      </c>
      <c r="BH249" t="str">
        <f t="shared" si="25"/>
        <v>Off</v>
      </c>
      <c r="BI249" t="str">
        <f t="shared" si="25"/>
        <v>Off</v>
      </c>
      <c r="BJ249" t="str">
        <f t="shared" si="26"/>
        <v>Off</v>
      </c>
      <c r="BK249" t="str">
        <f t="shared" si="26"/>
        <v>Off</v>
      </c>
      <c r="BL249" t="str">
        <f t="shared" si="26"/>
        <v>Off</v>
      </c>
      <c r="BM249" t="str">
        <f t="shared" si="26"/>
        <v>Off</v>
      </c>
      <c r="BN249" t="str">
        <f t="shared" si="26"/>
        <v>Off</v>
      </c>
      <c r="BO249" t="str">
        <f t="shared" si="26"/>
        <v>Off</v>
      </c>
      <c r="BP249" t="str">
        <f t="shared" si="26"/>
        <v>Off</v>
      </c>
      <c r="BQ249" t="str">
        <f t="shared" si="26"/>
        <v>Off</v>
      </c>
      <c r="BR249" t="str">
        <f t="shared" si="26"/>
        <v>Off</v>
      </c>
      <c r="BS249" t="str">
        <f t="shared" si="26"/>
        <v>Off</v>
      </c>
      <c r="BT249" t="str">
        <f t="shared" si="27"/>
        <v>Off</v>
      </c>
      <c r="BU249" t="str">
        <f t="shared" si="27"/>
        <v>Off</v>
      </c>
      <c r="BV249" t="str">
        <f t="shared" si="27"/>
        <v>Off</v>
      </c>
      <c r="BW249" t="str">
        <f t="shared" si="27"/>
        <v>Off</v>
      </c>
      <c r="BX249" t="str">
        <f t="shared" si="27"/>
        <v>Off</v>
      </c>
      <c r="BY249" t="str">
        <f t="shared" si="27"/>
        <v>Off</v>
      </c>
      <c r="BZ249" t="str">
        <f t="shared" si="27"/>
        <v>Off</v>
      </c>
      <c r="CA249" t="str">
        <f t="shared" si="27"/>
        <v>Off</v>
      </c>
      <c r="CB249" t="str">
        <f t="shared" si="27"/>
        <v>Off</v>
      </c>
      <c r="CC249" t="str">
        <f t="shared" si="27"/>
        <v>Off</v>
      </c>
      <c r="CD249" t="str">
        <f t="shared" si="28"/>
        <v>Off</v>
      </c>
      <c r="CE249" t="str">
        <f t="shared" si="28"/>
        <v>Off</v>
      </c>
      <c r="CF249" t="str">
        <f t="shared" si="28"/>
        <v>Off</v>
      </c>
      <c r="CG249" t="str">
        <f t="shared" si="28"/>
        <v>Off</v>
      </c>
      <c r="CH249" t="str">
        <f t="shared" si="28"/>
        <v>Off</v>
      </c>
      <c r="CI249" t="str">
        <f t="shared" si="28"/>
        <v>Off</v>
      </c>
      <c r="CJ249" t="str">
        <f t="shared" si="28"/>
        <v>Off</v>
      </c>
      <c r="CK249" t="str">
        <f t="shared" si="28"/>
        <v>Off</v>
      </c>
      <c r="CL249" t="str">
        <f t="shared" si="28"/>
        <v>Off</v>
      </c>
      <c r="CM249" t="str">
        <f t="shared" si="28"/>
        <v>Off</v>
      </c>
      <c r="CN249" t="str">
        <f t="shared" si="29"/>
        <v>Off</v>
      </c>
      <c r="CO249" t="str">
        <f t="shared" si="29"/>
        <v>Off</v>
      </c>
      <c r="CP249" t="str">
        <f t="shared" si="29"/>
        <v>Off</v>
      </c>
      <c r="CQ249" t="str">
        <f t="shared" si="29"/>
        <v>Off</v>
      </c>
      <c r="CR249" t="str">
        <f t="shared" si="29"/>
        <v>Off</v>
      </c>
      <c r="CS249" t="str">
        <f t="shared" si="29"/>
        <v>Off</v>
      </c>
      <c r="CT249" t="str">
        <f t="shared" si="29"/>
        <v>Off</v>
      </c>
      <c r="CU249" t="str">
        <f t="shared" si="29"/>
        <v>Off</v>
      </c>
      <c r="CV249" t="str">
        <f t="shared" si="29"/>
        <v>Off</v>
      </c>
      <c r="CW249" t="str">
        <f t="shared" si="29"/>
        <v>Off</v>
      </c>
    </row>
    <row r="251" spans="1:101">
      <c r="B251" t="s">
        <v>1309</v>
      </c>
      <c r="C251">
        <v>35</v>
      </c>
      <c r="D251">
        <v>8</v>
      </c>
      <c r="E251">
        <v>1</v>
      </c>
    </row>
    <row r="252" spans="1:101">
      <c r="B252" t="s">
        <v>1310</v>
      </c>
      <c r="C252" t="s">
        <v>1311</v>
      </c>
      <c r="D252" t="s">
        <v>1312</v>
      </c>
      <c r="E252" t="s">
        <v>1313</v>
      </c>
      <c r="F252" t="s">
        <v>1314</v>
      </c>
      <c r="G252" t="s">
        <v>1315</v>
      </c>
      <c r="H252" t="s">
        <v>1316</v>
      </c>
      <c r="I252" t="s">
        <v>1317</v>
      </c>
    </row>
    <row r="253" spans="1:101">
      <c r="A253" t="s">
        <v>1318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101">
      <c r="A254" t="s">
        <v>1319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101">
      <c r="A255" t="s">
        <v>1320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101">
      <c r="A256" t="s">
        <v>1321</v>
      </c>
      <c r="B256" t="str">
        <f t="shared" ref="B256:I256" si="30">"Off"</f>
        <v>Off</v>
      </c>
      <c r="C256" t="str">
        <f t="shared" si="30"/>
        <v>Off</v>
      </c>
      <c r="D256" t="str">
        <f t="shared" si="30"/>
        <v>Off</v>
      </c>
      <c r="E256" t="str">
        <f t="shared" si="30"/>
        <v>Off</v>
      </c>
      <c r="F256" t="str">
        <f t="shared" si="30"/>
        <v>Off</v>
      </c>
      <c r="G256" t="str">
        <f t="shared" si="30"/>
        <v>Off</v>
      </c>
      <c r="H256" t="str">
        <f t="shared" si="30"/>
        <v>Off</v>
      </c>
      <c r="I256" t="str">
        <f t="shared" si="30"/>
        <v>Off</v>
      </c>
    </row>
    <row r="257" spans="1:9">
      <c r="A257" t="s">
        <v>1322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>
      <c r="A258" t="s">
        <v>1323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>
      <c r="A259" t="s">
        <v>1324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>
      <c r="A260" t="s">
        <v>1325</v>
      </c>
      <c r="B260" t="str">
        <f t="shared" ref="B260:I260" si="31">"Off"</f>
        <v>Off</v>
      </c>
      <c r="C260" t="str">
        <f t="shared" si="31"/>
        <v>Off</v>
      </c>
      <c r="D260" t="str">
        <f t="shared" si="31"/>
        <v>Off</v>
      </c>
      <c r="E260" t="str">
        <f t="shared" si="31"/>
        <v>Off</v>
      </c>
      <c r="F260" t="str">
        <f t="shared" si="31"/>
        <v>Off</v>
      </c>
      <c r="G260" t="str">
        <f t="shared" si="31"/>
        <v>Off</v>
      </c>
      <c r="H260" t="str">
        <f t="shared" si="31"/>
        <v>Off</v>
      </c>
      <c r="I260" t="str">
        <f t="shared" si="31"/>
        <v>Off</v>
      </c>
    </row>
    <row r="261" spans="1:9">
      <c r="A261" t="s">
        <v>1326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>
      <c r="A262" t="s">
        <v>1327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>
      <c r="A263" t="s">
        <v>1328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>
      <c r="A264" t="s">
        <v>1329</v>
      </c>
      <c r="B264" t="str">
        <f t="shared" ref="B264:I264" si="32">"Off"</f>
        <v>Off</v>
      </c>
      <c r="C264" t="str">
        <f t="shared" si="32"/>
        <v>Off</v>
      </c>
      <c r="D264" t="str">
        <f t="shared" si="32"/>
        <v>Off</v>
      </c>
      <c r="E264" t="str">
        <f t="shared" si="32"/>
        <v>Off</v>
      </c>
      <c r="F264" t="str">
        <f t="shared" si="32"/>
        <v>Off</v>
      </c>
      <c r="G264" t="str">
        <f t="shared" si="32"/>
        <v>Off</v>
      </c>
      <c r="H264" t="str">
        <f t="shared" si="32"/>
        <v>Off</v>
      </c>
      <c r="I264" t="str">
        <f t="shared" si="32"/>
        <v>Off</v>
      </c>
    </row>
    <row r="265" spans="1:9">
      <c r="A265" t="s">
        <v>1330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>
      <c r="A266" t="s">
        <v>1331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>
      <c r="A267" t="s">
        <v>1332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>
      <c r="A268" t="s">
        <v>1333</v>
      </c>
      <c r="B268" t="str">
        <f t="shared" ref="B268:I268" si="33">"Off"</f>
        <v>Off</v>
      </c>
      <c r="C268" t="str">
        <f t="shared" si="33"/>
        <v>Off</v>
      </c>
      <c r="D268" t="str">
        <f t="shared" si="33"/>
        <v>Off</v>
      </c>
      <c r="E268" t="str">
        <f t="shared" si="33"/>
        <v>Off</v>
      </c>
      <c r="F268" t="str">
        <f t="shared" si="33"/>
        <v>Off</v>
      </c>
      <c r="G268" t="str">
        <f t="shared" si="33"/>
        <v>Off</v>
      </c>
      <c r="H268" t="str">
        <f t="shared" si="33"/>
        <v>Off</v>
      </c>
      <c r="I268" t="str">
        <f t="shared" si="33"/>
        <v>Off</v>
      </c>
    </row>
    <row r="269" spans="1:9">
      <c r="A269" t="s">
        <v>1334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>
      <c r="A270" t="s">
        <v>1335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>
      <c r="A271" t="s">
        <v>1336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>
      <c r="A272" t="s">
        <v>1337</v>
      </c>
      <c r="B272" t="str">
        <f t="shared" ref="B272:I272" si="34">"Off"</f>
        <v>Off</v>
      </c>
      <c r="C272" t="str">
        <f t="shared" si="34"/>
        <v>Off</v>
      </c>
      <c r="D272" t="str">
        <f t="shared" si="34"/>
        <v>Off</v>
      </c>
      <c r="E272" t="str">
        <f t="shared" si="34"/>
        <v>Off</v>
      </c>
      <c r="F272" t="str">
        <f t="shared" si="34"/>
        <v>Off</v>
      </c>
      <c r="G272" t="str">
        <f t="shared" si="34"/>
        <v>Off</v>
      </c>
      <c r="H272" t="str">
        <f t="shared" si="34"/>
        <v>Off</v>
      </c>
      <c r="I272" t="str">
        <f t="shared" si="34"/>
        <v>Off</v>
      </c>
    </row>
    <row r="273" spans="1:9">
      <c r="A273" t="s">
        <v>1338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>
      <c r="A274" t="s">
        <v>1339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>
      <c r="A275" t="s">
        <v>1340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>
      <c r="A276" t="s">
        <v>1341</v>
      </c>
      <c r="B276" t="str">
        <f t="shared" ref="B276:I276" si="35">"Off"</f>
        <v>Off</v>
      </c>
      <c r="C276" t="str">
        <f t="shared" si="35"/>
        <v>Off</v>
      </c>
      <c r="D276" t="str">
        <f t="shared" si="35"/>
        <v>Off</v>
      </c>
      <c r="E276" t="str">
        <f t="shared" si="35"/>
        <v>Off</v>
      </c>
      <c r="F276" t="str">
        <f t="shared" si="35"/>
        <v>Off</v>
      </c>
      <c r="G276" t="str">
        <f t="shared" si="35"/>
        <v>Off</v>
      </c>
      <c r="H276" t="str">
        <f t="shared" si="35"/>
        <v>Off</v>
      </c>
      <c r="I276" t="str">
        <f t="shared" si="35"/>
        <v>Off</v>
      </c>
    </row>
    <row r="277" spans="1:9">
      <c r="A277" t="s">
        <v>1342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>
      <c r="A278" t="s">
        <v>1343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>
      <c r="A279" t="s">
        <v>1344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>
      <c r="A280" t="s">
        <v>1345</v>
      </c>
      <c r="B280" t="str">
        <f t="shared" ref="B280:I280" si="36">"Off"</f>
        <v>Off</v>
      </c>
      <c r="C280" t="str">
        <f t="shared" si="36"/>
        <v>Off</v>
      </c>
      <c r="D280" t="str">
        <f t="shared" si="36"/>
        <v>Off</v>
      </c>
      <c r="E280" t="str">
        <f t="shared" si="36"/>
        <v>Off</v>
      </c>
      <c r="F280" t="str">
        <f t="shared" si="36"/>
        <v>Off</v>
      </c>
      <c r="G280" t="str">
        <f t="shared" si="36"/>
        <v>Off</v>
      </c>
      <c r="H280" t="str">
        <f t="shared" si="36"/>
        <v>Off</v>
      </c>
      <c r="I280" t="str">
        <f t="shared" si="36"/>
        <v>Off</v>
      </c>
    </row>
    <row r="281" spans="1:9">
      <c r="A281" t="s">
        <v>1346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>
      <c r="A282" t="s">
        <v>1347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>
      <c r="A283" t="s">
        <v>1348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>
      <c r="A284" t="s">
        <v>1349</v>
      </c>
      <c r="B284" t="str">
        <f t="shared" ref="B284:I284" si="37">"Off"</f>
        <v>Off</v>
      </c>
      <c r="C284" t="str">
        <f t="shared" si="37"/>
        <v>Off</v>
      </c>
      <c r="D284" t="str">
        <f t="shared" si="37"/>
        <v>Off</v>
      </c>
      <c r="E284" t="str">
        <f t="shared" si="37"/>
        <v>Off</v>
      </c>
      <c r="F284" t="str">
        <f t="shared" si="37"/>
        <v>Off</v>
      </c>
      <c r="G284" t="str">
        <f t="shared" si="37"/>
        <v>Off</v>
      </c>
      <c r="H284" t="str">
        <f t="shared" si="37"/>
        <v>Off</v>
      </c>
      <c r="I284" t="str">
        <f t="shared" si="37"/>
        <v>Off</v>
      </c>
    </row>
    <row r="285" spans="1:9">
      <c r="A285" t="s">
        <v>1350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>
      <c r="A286" t="s">
        <v>1351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>
      <c r="A287" t="s">
        <v>1352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</row>
    <row r="289" spans="1:101">
      <c r="B289" t="s">
        <v>1353</v>
      </c>
      <c r="C289">
        <v>51</v>
      </c>
      <c r="D289">
        <v>100</v>
      </c>
      <c r="E289">
        <v>1</v>
      </c>
    </row>
    <row r="290" spans="1:101">
      <c r="B290" t="s">
        <v>1354</v>
      </c>
      <c r="C290" t="s">
        <v>1355</v>
      </c>
      <c r="D290" t="s">
        <v>1356</v>
      </c>
      <c r="E290" t="s">
        <v>1357</v>
      </c>
      <c r="F290" t="s">
        <v>1358</v>
      </c>
      <c r="G290" t="s">
        <v>1359</v>
      </c>
      <c r="H290" t="s">
        <v>1360</v>
      </c>
      <c r="I290" t="s">
        <v>1361</v>
      </c>
      <c r="J290" t="s">
        <v>1362</v>
      </c>
      <c r="K290" t="s">
        <v>1363</v>
      </c>
      <c r="L290" t="s">
        <v>1364</v>
      </c>
      <c r="M290" t="s">
        <v>1365</v>
      </c>
      <c r="N290" t="s">
        <v>1366</v>
      </c>
      <c r="O290" t="s">
        <v>1367</v>
      </c>
      <c r="P290" t="s">
        <v>1368</v>
      </c>
      <c r="Q290" t="s">
        <v>1369</v>
      </c>
      <c r="R290" t="s">
        <v>1370</v>
      </c>
      <c r="S290" t="s">
        <v>1371</v>
      </c>
      <c r="T290" t="s">
        <v>1372</v>
      </c>
      <c r="U290" t="s">
        <v>1373</v>
      </c>
      <c r="V290" t="s">
        <v>1374</v>
      </c>
      <c r="W290" t="s">
        <v>1375</v>
      </c>
      <c r="X290" t="s">
        <v>1376</v>
      </c>
      <c r="Y290" t="s">
        <v>1377</v>
      </c>
      <c r="Z290" t="s">
        <v>1378</v>
      </c>
      <c r="AA290" t="s">
        <v>1379</v>
      </c>
      <c r="AB290" t="s">
        <v>1380</v>
      </c>
      <c r="AC290" t="s">
        <v>1381</v>
      </c>
      <c r="AD290" t="s">
        <v>1382</v>
      </c>
      <c r="AE290" t="s">
        <v>1383</v>
      </c>
      <c r="AF290" t="s">
        <v>1384</v>
      </c>
      <c r="AG290" t="s">
        <v>1385</v>
      </c>
      <c r="AH290" t="s">
        <v>1386</v>
      </c>
      <c r="AI290" t="s">
        <v>1387</v>
      </c>
      <c r="AJ290" t="s">
        <v>1388</v>
      </c>
      <c r="AK290" t="s">
        <v>1389</v>
      </c>
      <c r="AL290" t="s">
        <v>1390</v>
      </c>
      <c r="AM290" t="s">
        <v>1391</v>
      </c>
      <c r="AN290" t="s">
        <v>1392</v>
      </c>
      <c r="AO290" t="s">
        <v>1393</v>
      </c>
      <c r="AP290" t="s">
        <v>1394</v>
      </c>
      <c r="AQ290" t="s">
        <v>1395</v>
      </c>
      <c r="AR290" t="s">
        <v>1396</v>
      </c>
      <c r="AS290" t="s">
        <v>1397</v>
      </c>
      <c r="AT290" t="s">
        <v>1398</v>
      </c>
      <c r="AU290" t="s">
        <v>1399</v>
      </c>
      <c r="AV290" t="s">
        <v>1400</v>
      </c>
      <c r="AW290" t="s">
        <v>1401</v>
      </c>
      <c r="AX290" t="s">
        <v>1402</v>
      </c>
      <c r="AY290" t="s">
        <v>1403</v>
      </c>
      <c r="AZ290" t="s">
        <v>1404</v>
      </c>
      <c r="BA290" t="s">
        <v>1405</v>
      </c>
      <c r="BB290" t="s">
        <v>1406</v>
      </c>
      <c r="BC290" t="s">
        <v>1407</v>
      </c>
      <c r="BD290" t="s">
        <v>1408</v>
      </c>
      <c r="BE290" t="s">
        <v>1409</v>
      </c>
      <c r="BF290" t="s">
        <v>1410</v>
      </c>
      <c r="BG290" t="s">
        <v>1411</v>
      </c>
      <c r="BH290" t="s">
        <v>1412</v>
      </c>
      <c r="BI290" t="s">
        <v>1413</v>
      </c>
      <c r="BJ290" t="s">
        <v>1414</v>
      </c>
      <c r="BK290" t="s">
        <v>1415</v>
      </c>
      <c r="BL290" t="s">
        <v>1416</v>
      </c>
      <c r="BM290" t="s">
        <v>1417</v>
      </c>
      <c r="BN290" t="s">
        <v>1418</v>
      </c>
      <c r="BO290" t="s">
        <v>1419</v>
      </c>
      <c r="BP290" t="s">
        <v>1420</v>
      </c>
      <c r="BQ290" t="s">
        <v>1421</v>
      </c>
      <c r="BR290" t="s">
        <v>1422</v>
      </c>
      <c r="BS290" t="s">
        <v>1423</v>
      </c>
      <c r="BT290" t="s">
        <v>1424</v>
      </c>
      <c r="BU290" t="s">
        <v>1425</v>
      </c>
      <c r="BV290" t="s">
        <v>1426</v>
      </c>
      <c r="BW290" t="s">
        <v>1427</v>
      </c>
      <c r="BX290" t="s">
        <v>1428</v>
      </c>
      <c r="BY290" t="s">
        <v>1429</v>
      </c>
      <c r="BZ290" t="s">
        <v>1430</v>
      </c>
      <c r="CA290" t="s">
        <v>1431</v>
      </c>
      <c r="CB290" t="s">
        <v>1432</v>
      </c>
      <c r="CC290" t="s">
        <v>1433</v>
      </c>
      <c r="CD290" t="s">
        <v>1434</v>
      </c>
      <c r="CE290" t="s">
        <v>1435</v>
      </c>
      <c r="CF290" t="s">
        <v>1436</v>
      </c>
      <c r="CG290" t="s">
        <v>1437</v>
      </c>
      <c r="CH290" t="s">
        <v>1438</v>
      </c>
      <c r="CI290" t="s">
        <v>1439</v>
      </c>
      <c r="CJ290" t="s">
        <v>1440</v>
      </c>
      <c r="CK290" t="s">
        <v>1441</v>
      </c>
      <c r="CL290" t="s">
        <v>1442</v>
      </c>
      <c r="CM290" t="s">
        <v>1443</v>
      </c>
      <c r="CN290" t="s">
        <v>1444</v>
      </c>
      <c r="CO290" t="s">
        <v>1445</v>
      </c>
      <c r="CP290" t="s">
        <v>1446</v>
      </c>
      <c r="CQ290" t="s">
        <v>1447</v>
      </c>
      <c r="CR290" t="s">
        <v>1448</v>
      </c>
      <c r="CS290" t="s">
        <v>1449</v>
      </c>
      <c r="CT290" t="s">
        <v>1450</v>
      </c>
      <c r="CU290" t="s">
        <v>1451</v>
      </c>
      <c r="CV290" t="s">
        <v>1452</v>
      </c>
      <c r="CW290" t="s">
        <v>1453</v>
      </c>
    </row>
    <row r="291" spans="1:101">
      <c r="A291">
        <v>1</v>
      </c>
      <c r="B291" t="str">
        <f>"On"</f>
        <v>On</v>
      </c>
      <c r="C291" t="str">
        <f>"On"</f>
        <v>On</v>
      </c>
      <c r="D291" t="str">
        <f>"On"</f>
        <v>On</v>
      </c>
      <c r="E291" t="str">
        <f>"On"</f>
        <v>On</v>
      </c>
      <c r="F291" t="str">
        <f t="shared" ref="F291:I293" si="38">"Off"</f>
        <v>Off</v>
      </c>
      <c r="G291" t="str">
        <f t="shared" si="38"/>
        <v>Off</v>
      </c>
      <c r="H291" t="str">
        <f t="shared" si="38"/>
        <v>Off</v>
      </c>
      <c r="I291" t="str">
        <f t="shared" si="38"/>
        <v>Off</v>
      </c>
      <c r="J291" t="str">
        <f t="shared" ref="J291:J297" si="39">"On"</f>
        <v>On</v>
      </c>
      <c r="K291" t="str">
        <f t="shared" ref="K291:T301" si="40">"Off"</f>
        <v>Off</v>
      </c>
      <c r="L291" t="str">
        <f t="shared" si="40"/>
        <v>Off</v>
      </c>
      <c r="M291" t="str">
        <f t="shared" si="40"/>
        <v>Off</v>
      </c>
      <c r="N291" t="str">
        <f t="shared" si="40"/>
        <v>Off</v>
      </c>
      <c r="O291" t="str">
        <f t="shared" si="40"/>
        <v>Off</v>
      </c>
      <c r="P291" t="str">
        <f t="shared" si="40"/>
        <v>Off</v>
      </c>
      <c r="Q291" t="str">
        <f t="shared" si="40"/>
        <v>Off</v>
      </c>
      <c r="R291" t="str">
        <f t="shared" si="40"/>
        <v>Off</v>
      </c>
      <c r="S291" t="str">
        <f t="shared" si="40"/>
        <v>Off</v>
      </c>
      <c r="T291" t="str">
        <f t="shared" si="40"/>
        <v>Off</v>
      </c>
      <c r="U291" t="str">
        <f t="shared" ref="U291:AD301" si="41">"Off"</f>
        <v>Off</v>
      </c>
      <c r="V291" t="str">
        <f t="shared" si="41"/>
        <v>Off</v>
      </c>
      <c r="W291" t="str">
        <f t="shared" si="41"/>
        <v>Off</v>
      </c>
      <c r="X291" t="str">
        <f t="shared" si="41"/>
        <v>Off</v>
      </c>
      <c r="Y291" t="str">
        <f t="shared" si="41"/>
        <v>Off</v>
      </c>
      <c r="Z291" t="str">
        <f t="shared" si="41"/>
        <v>Off</v>
      </c>
      <c r="AA291" t="str">
        <f t="shared" si="41"/>
        <v>Off</v>
      </c>
      <c r="AB291" t="str">
        <f t="shared" si="41"/>
        <v>Off</v>
      </c>
      <c r="AC291" t="str">
        <f t="shared" si="41"/>
        <v>Off</v>
      </c>
      <c r="AD291" t="str">
        <f t="shared" si="41"/>
        <v>Off</v>
      </c>
      <c r="AE291" t="str">
        <f t="shared" ref="AE291:AN301" si="42">"Off"</f>
        <v>Off</v>
      </c>
      <c r="AF291" t="str">
        <f t="shared" si="42"/>
        <v>Off</v>
      </c>
      <c r="AG291" t="str">
        <f t="shared" si="42"/>
        <v>Off</v>
      </c>
      <c r="AH291" t="str">
        <f t="shared" si="42"/>
        <v>Off</v>
      </c>
      <c r="AI291" t="str">
        <f t="shared" si="42"/>
        <v>Off</v>
      </c>
      <c r="AJ291" t="str">
        <f t="shared" si="42"/>
        <v>Off</v>
      </c>
      <c r="AK291" t="str">
        <f t="shared" si="42"/>
        <v>Off</v>
      </c>
      <c r="AL291" t="str">
        <f t="shared" si="42"/>
        <v>Off</v>
      </c>
      <c r="AM291" t="str">
        <f t="shared" si="42"/>
        <v>Off</v>
      </c>
      <c r="AN291" t="str">
        <f t="shared" si="42"/>
        <v>Off</v>
      </c>
      <c r="AO291" t="str">
        <f t="shared" ref="AO291:AX301" si="43">"Off"</f>
        <v>Off</v>
      </c>
      <c r="AP291" t="str">
        <f t="shared" si="43"/>
        <v>Off</v>
      </c>
      <c r="AQ291" t="str">
        <f t="shared" si="43"/>
        <v>Off</v>
      </c>
      <c r="AR291" t="str">
        <f t="shared" si="43"/>
        <v>Off</v>
      </c>
      <c r="AS291" t="str">
        <f t="shared" si="43"/>
        <v>Off</v>
      </c>
      <c r="AT291" t="str">
        <f t="shared" si="43"/>
        <v>Off</v>
      </c>
      <c r="AU291" t="str">
        <f t="shared" si="43"/>
        <v>Off</v>
      </c>
      <c r="AV291" t="str">
        <f t="shared" si="43"/>
        <v>Off</v>
      </c>
      <c r="AW291" t="str">
        <f t="shared" si="43"/>
        <v>Off</v>
      </c>
      <c r="AX291" t="str">
        <f t="shared" si="43"/>
        <v>Off</v>
      </c>
      <c r="AY291" t="str">
        <f t="shared" ref="AY291:BH301" si="44">"Off"</f>
        <v>Off</v>
      </c>
      <c r="AZ291" t="str">
        <f t="shared" si="44"/>
        <v>Off</v>
      </c>
      <c r="BA291" t="str">
        <f t="shared" si="44"/>
        <v>Off</v>
      </c>
      <c r="BB291" t="str">
        <f t="shared" si="44"/>
        <v>Off</v>
      </c>
      <c r="BC291" t="str">
        <f t="shared" si="44"/>
        <v>Off</v>
      </c>
      <c r="BD291" t="str">
        <f t="shared" si="44"/>
        <v>Off</v>
      </c>
      <c r="BE291" t="str">
        <f t="shared" si="44"/>
        <v>Off</v>
      </c>
      <c r="BF291" t="str">
        <f t="shared" si="44"/>
        <v>Off</v>
      </c>
      <c r="BG291" t="str">
        <f t="shared" si="44"/>
        <v>Off</v>
      </c>
      <c r="BH291" t="str">
        <f t="shared" si="44"/>
        <v>Off</v>
      </c>
      <c r="BI291" t="str">
        <f t="shared" ref="BI291:BR301" si="45">"Off"</f>
        <v>Off</v>
      </c>
      <c r="BJ291" t="str">
        <f t="shared" si="45"/>
        <v>Off</v>
      </c>
      <c r="BK291" t="str">
        <f t="shared" si="45"/>
        <v>Off</v>
      </c>
      <c r="BL291" t="str">
        <f t="shared" si="45"/>
        <v>Off</v>
      </c>
      <c r="BM291" t="str">
        <f t="shared" si="45"/>
        <v>Off</v>
      </c>
      <c r="BN291" t="str">
        <f t="shared" si="45"/>
        <v>Off</v>
      </c>
      <c r="BO291" t="str">
        <f t="shared" si="45"/>
        <v>Off</v>
      </c>
      <c r="BP291" t="str">
        <f t="shared" si="45"/>
        <v>Off</v>
      </c>
      <c r="BQ291" t="str">
        <f t="shared" si="45"/>
        <v>Off</v>
      </c>
      <c r="BR291" t="str">
        <f t="shared" si="45"/>
        <v>Off</v>
      </c>
      <c r="BS291" t="str">
        <f t="shared" ref="BS291:CB301" si="46">"Off"</f>
        <v>Off</v>
      </c>
      <c r="BT291" t="str">
        <f t="shared" si="46"/>
        <v>Off</v>
      </c>
      <c r="BU291" t="str">
        <f t="shared" si="46"/>
        <v>Off</v>
      </c>
      <c r="BV291" t="str">
        <f t="shared" si="46"/>
        <v>Off</v>
      </c>
      <c r="BW291" t="str">
        <f t="shared" si="46"/>
        <v>Off</v>
      </c>
      <c r="BX291" t="str">
        <f t="shared" si="46"/>
        <v>Off</v>
      </c>
      <c r="BY291" t="str">
        <f t="shared" si="46"/>
        <v>Off</v>
      </c>
      <c r="BZ291" t="str">
        <f t="shared" si="46"/>
        <v>Off</v>
      </c>
      <c r="CA291" t="str">
        <f t="shared" si="46"/>
        <v>Off</v>
      </c>
      <c r="CB291" t="str">
        <f t="shared" si="46"/>
        <v>Off</v>
      </c>
      <c r="CC291" t="str">
        <f t="shared" ref="CC291:CL301" si="47">"Off"</f>
        <v>Off</v>
      </c>
      <c r="CD291" t="str">
        <f t="shared" si="47"/>
        <v>Off</v>
      </c>
      <c r="CE291" t="str">
        <f t="shared" si="47"/>
        <v>Off</v>
      </c>
      <c r="CF291" t="str">
        <f t="shared" si="47"/>
        <v>Off</v>
      </c>
      <c r="CG291" t="str">
        <f t="shared" si="47"/>
        <v>Off</v>
      </c>
      <c r="CH291" t="str">
        <f t="shared" si="47"/>
        <v>Off</v>
      </c>
      <c r="CI291" t="str">
        <f t="shared" si="47"/>
        <v>Off</v>
      </c>
      <c r="CJ291" t="str">
        <f t="shared" si="47"/>
        <v>Off</v>
      </c>
      <c r="CK291" t="str">
        <f t="shared" si="47"/>
        <v>Off</v>
      </c>
      <c r="CL291" t="str">
        <f t="shared" si="47"/>
        <v>Off</v>
      </c>
      <c r="CM291" t="str">
        <f t="shared" ref="CM291:CW301" si="48">"Off"</f>
        <v>Off</v>
      </c>
      <c r="CN291" t="str">
        <f t="shared" si="48"/>
        <v>Off</v>
      </c>
      <c r="CO291" t="str">
        <f t="shared" si="48"/>
        <v>Off</v>
      </c>
      <c r="CP291" t="str">
        <f t="shared" si="48"/>
        <v>Off</v>
      </c>
      <c r="CQ291" t="str">
        <f t="shared" si="48"/>
        <v>Off</v>
      </c>
      <c r="CR291" t="str">
        <f t="shared" si="48"/>
        <v>Off</v>
      </c>
      <c r="CS291" t="str">
        <f t="shared" si="48"/>
        <v>Off</v>
      </c>
      <c r="CT291" t="str">
        <f t="shared" si="48"/>
        <v>Off</v>
      </c>
      <c r="CU291" t="str">
        <f t="shared" si="48"/>
        <v>Off</v>
      </c>
      <c r="CV291" t="str">
        <f t="shared" si="48"/>
        <v>Off</v>
      </c>
      <c r="CW291" t="str">
        <f t="shared" si="48"/>
        <v>Off</v>
      </c>
    </row>
    <row r="292" spans="1:101">
      <c r="A292">
        <v>2</v>
      </c>
      <c r="B292" t="str">
        <f t="shared" ref="B292:D311" si="49">"On"</f>
        <v>On</v>
      </c>
      <c r="C292" t="str">
        <f t="shared" si="49"/>
        <v>On</v>
      </c>
      <c r="D292" t="str">
        <f t="shared" si="49"/>
        <v>On</v>
      </c>
      <c r="E292" t="str">
        <f t="shared" ref="E292:E326" si="50">"Off"</f>
        <v>Off</v>
      </c>
      <c r="F292" t="str">
        <f t="shared" si="38"/>
        <v>Off</v>
      </c>
      <c r="G292" t="str">
        <f t="shared" si="38"/>
        <v>Off</v>
      </c>
      <c r="H292" t="str">
        <f t="shared" si="38"/>
        <v>Off</v>
      </c>
      <c r="I292" t="str">
        <f t="shared" si="38"/>
        <v>Off</v>
      </c>
      <c r="J292" t="str">
        <f t="shared" si="39"/>
        <v>On</v>
      </c>
      <c r="K292" t="str">
        <f t="shared" si="40"/>
        <v>Off</v>
      </c>
      <c r="L292" t="str">
        <f t="shared" si="40"/>
        <v>Off</v>
      </c>
      <c r="M292" t="str">
        <f t="shared" si="40"/>
        <v>Off</v>
      </c>
      <c r="N292" t="str">
        <f t="shared" si="40"/>
        <v>Off</v>
      </c>
      <c r="O292" t="str">
        <f t="shared" si="40"/>
        <v>Off</v>
      </c>
      <c r="P292" t="str">
        <f t="shared" si="40"/>
        <v>Off</v>
      </c>
      <c r="Q292" t="str">
        <f t="shared" si="40"/>
        <v>Off</v>
      </c>
      <c r="R292" t="str">
        <f t="shared" si="40"/>
        <v>Off</v>
      </c>
      <c r="S292" t="str">
        <f t="shared" si="40"/>
        <v>Off</v>
      </c>
      <c r="T292" t="str">
        <f t="shared" si="40"/>
        <v>Off</v>
      </c>
      <c r="U292" t="str">
        <f t="shared" si="41"/>
        <v>Off</v>
      </c>
      <c r="V292" t="str">
        <f t="shared" si="41"/>
        <v>Off</v>
      </c>
      <c r="W292" t="str">
        <f t="shared" si="41"/>
        <v>Off</v>
      </c>
      <c r="X292" t="str">
        <f t="shared" si="41"/>
        <v>Off</v>
      </c>
      <c r="Y292" t="str">
        <f t="shared" si="41"/>
        <v>Off</v>
      </c>
      <c r="Z292" t="str">
        <f t="shared" si="41"/>
        <v>Off</v>
      </c>
      <c r="AA292" t="str">
        <f t="shared" si="41"/>
        <v>Off</v>
      </c>
      <c r="AB292" t="str">
        <f t="shared" si="41"/>
        <v>Off</v>
      </c>
      <c r="AC292" t="str">
        <f t="shared" si="41"/>
        <v>Off</v>
      </c>
      <c r="AD292" t="str">
        <f t="shared" si="41"/>
        <v>Off</v>
      </c>
      <c r="AE292" t="str">
        <f t="shared" si="42"/>
        <v>Off</v>
      </c>
      <c r="AF292" t="str">
        <f t="shared" si="42"/>
        <v>Off</v>
      </c>
      <c r="AG292" t="str">
        <f t="shared" si="42"/>
        <v>Off</v>
      </c>
      <c r="AH292" t="str">
        <f t="shared" si="42"/>
        <v>Off</v>
      </c>
      <c r="AI292" t="str">
        <f t="shared" si="42"/>
        <v>Off</v>
      </c>
      <c r="AJ292" t="str">
        <f t="shared" si="42"/>
        <v>Off</v>
      </c>
      <c r="AK292" t="str">
        <f t="shared" si="42"/>
        <v>Off</v>
      </c>
      <c r="AL292" t="str">
        <f t="shared" si="42"/>
        <v>Off</v>
      </c>
      <c r="AM292" t="str">
        <f t="shared" si="42"/>
        <v>Off</v>
      </c>
      <c r="AN292" t="str">
        <f t="shared" si="42"/>
        <v>Off</v>
      </c>
      <c r="AO292" t="str">
        <f t="shared" si="43"/>
        <v>Off</v>
      </c>
      <c r="AP292" t="str">
        <f t="shared" si="43"/>
        <v>Off</v>
      </c>
      <c r="AQ292" t="str">
        <f t="shared" si="43"/>
        <v>Off</v>
      </c>
      <c r="AR292" t="str">
        <f t="shared" si="43"/>
        <v>Off</v>
      </c>
      <c r="AS292" t="str">
        <f t="shared" si="43"/>
        <v>Off</v>
      </c>
      <c r="AT292" t="str">
        <f t="shared" si="43"/>
        <v>Off</v>
      </c>
      <c r="AU292" t="str">
        <f t="shared" si="43"/>
        <v>Off</v>
      </c>
      <c r="AV292" t="str">
        <f t="shared" si="43"/>
        <v>Off</v>
      </c>
      <c r="AW292" t="str">
        <f t="shared" si="43"/>
        <v>Off</v>
      </c>
      <c r="AX292" t="str">
        <f t="shared" si="43"/>
        <v>Off</v>
      </c>
      <c r="AY292" t="str">
        <f t="shared" si="44"/>
        <v>Off</v>
      </c>
      <c r="AZ292" t="str">
        <f t="shared" si="44"/>
        <v>Off</v>
      </c>
      <c r="BA292" t="str">
        <f t="shared" si="44"/>
        <v>Off</v>
      </c>
      <c r="BB292" t="str">
        <f t="shared" si="44"/>
        <v>Off</v>
      </c>
      <c r="BC292" t="str">
        <f t="shared" si="44"/>
        <v>Off</v>
      </c>
      <c r="BD292" t="str">
        <f t="shared" si="44"/>
        <v>Off</v>
      </c>
      <c r="BE292" t="str">
        <f t="shared" si="44"/>
        <v>Off</v>
      </c>
      <c r="BF292" t="str">
        <f t="shared" si="44"/>
        <v>Off</v>
      </c>
      <c r="BG292" t="str">
        <f t="shared" si="44"/>
        <v>Off</v>
      </c>
      <c r="BH292" t="str">
        <f t="shared" si="44"/>
        <v>Off</v>
      </c>
      <c r="BI292" t="str">
        <f t="shared" si="45"/>
        <v>Off</v>
      </c>
      <c r="BJ292" t="str">
        <f t="shared" si="45"/>
        <v>Off</v>
      </c>
      <c r="BK292" t="str">
        <f t="shared" si="45"/>
        <v>Off</v>
      </c>
      <c r="BL292" t="str">
        <f t="shared" si="45"/>
        <v>Off</v>
      </c>
      <c r="BM292" t="str">
        <f t="shared" si="45"/>
        <v>Off</v>
      </c>
      <c r="BN292" t="str">
        <f t="shared" si="45"/>
        <v>Off</v>
      </c>
      <c r="BO292" t="str">
        <f t="shared" si="45"/>
        <v>Off</v>
      </c>
      <c r="BP292" t="str">
        <f t="shared" si="45"/>
        <v>Off</v>
      </c>
      <c r="BQ292" t="str">
        <f t="shared" si="45"/>
        <v>Off</v>
      </c>
      <c r="BR292" t="str">
        <f t="shared" si="45"/>
        <v>Off</v>
      </c>
      <c r="BS292" t="str">
        <f t="shared" si="46"/>
        <v>Off</v>
      </c>
      <c r="BT292" t="str">
        <f t="shared" si="46"/>
        <v>Off</v>
      </c>
      <c r="BU292" t="str">
        <f t="shared" si="46"/>
        <v>Off</v>
      </c>
      <c r="BV292" t="str">
        <f t="shared" si="46"/>
        <v>Off</v>
      </c>
      <c r="BW292" t="str">
        <f t="shared" si="46"/>
        <v>Off</v>
      </c>
      <c r="BX292" t="str">
        <f t="shared" si="46"/>
        <v>Off</v>
      </c>
      <c r="BY292" t="str">
        <f t="shared" si="46"/>
        <v>Off</v>
      </c>
      <c r="BZ292" t="str">
        <f t="shared" si="46"/>
        <v>Off</v>
      </c>
      <c r="CA292" t="str">
        <f t="shared" si="46"/>
        <v>Off</v>
      </c>
      <c r="CB292" t="str">
        <f t="shared" si="46"/>
        <v>Off</v>
      </c>
      <c r="CC292" t="str">
        <f t="shared" si="47"/>
        <v>Off</v>
      </c>
      <c r="CD292" t="str">
        <f t="shared" si="47"/>
        <v>Off</v>
      </c>
      <c r="CE292" t="str">
        <f t="shared" si="47"/>
        <v>Off</v>
      </c>
      <c r="CF292" t="str">
        <f t="shared" si="47"/>
        <v>Off</v>
      </c>
      <c r="CG292" t="str">
        <f t="shared" si="47"/>
        <v>Off</v>
      </c>
      <c r="CH292" t="str">
        <f t="shared" si="47"/>
        <v>Off</v>
      </c>
      <c r="CI292" t="str">
        <f t="shared" si="47"/>
        <v>Off</v>
      </c>
      <c r="CJ292" t="str">
        <f t="shared" si="47"/>
        <v>Off</v>
      </c>
      <c r="CK292" t="str">
        <f t="shared" si="47"/>
        <v>Off</v>
      </c>
      <c r="CL292" t="str">
        <f t="shared" si="47"/>
        <v>Off</v>
      </c>
      <c r="CM292" t="str">
        <f t="shared" si="48"/>
        <v>Off</v>
      </c>
      <c r="CN292" t="str">
        <f t="shared" si="48"/>
        <v>Off</v>
      </c>
      <c r="CO292" t="str">
        <f t="shared" si="48"/>
        <v>Off</v>
      </c>
      <c r="CP292" t="str">
        <f t="shared" si="48"/>
        <v>Off</v>
      </c>
      <c r="CQ292" t="str">
        <f t="shared" si="48"/>
        <v>Off</v>
      </c>
      <c r="CR292" t="str">
        <f t="shared" si="48"/>
        <v>Off</v>
      </c>
      <c r="CS292" t="str">
        <f t="shared" si="48"/>
        <v>Off</v>
      </c>
      <c r="CT292" t="str">
        <f t="shared" si="48"/>
        <v>Off</v>
      </c>
      <c r="CU292" t="str">
        <f t="shared" si="48"/>
        <v>Off</v>
      </c>
      <c r="CV292" t="str">
        <f t="shared" si="48"/>
        <v>Off</v>
      </c>
      <c r="CW292" t="str">
        <f t="shared" si="48"/>
        <v>Off</v>
      </c>
    </row>
    <row r="293" spans="1:101">
      <c r="A293">
        <v>3</v>
      </c>
      <c r="B293" t="str">
        <f t="shared" si="49"/>
        <v>On</v>
      </c>
      <c r="C293" t="str">
        <f t="shared" si="49"/>
        <v>On</v>
      </c>
      <c r="D293" t="str">
        <f t="shared" si="49"/>
        <v>On</v>
      </c>
      <c r="E293" t="str">
        <f t="shared" si="50"/>
        <v>Off</v>
      </c>
      <c r="F293" t="str">
        <f t="shared" si="38"/>
        <v>Off</v>
      </c>
      <c r="G293" t="str">
        <f t="shared" si="38"/>
        <v>Off</v>
      </c>
      <c r="H293" t="str">
        <f t="shared" si="38"/>
        <v>Off</v>
      </c>
      <c r="I293" t="str">
        <f t="shared" si="38"/>
        <v>Off</v>
      </c>
      <c r="J293" t="str">
        <f t="shared" si="39"/>
        <v>On</v>
      </c>
      <c r="K293" t="str">
        <f t="shared" si="40"/>
        <v>Off</v>
      </c>
      <c r="L293" t="str">
        <f t="shared" si="40"/>
        <v>Off</v>
      </c>
      <c r="M293" t="str">
        <f t="shared" si="40"/>
        <v>Off</v>
      </c>
      <c r="N293" t="str">
        <f t="shared" si="40"/>
        <v>Off</v>
      </c>
      <c r="O293" t="str">
        <f t="shared" si="40"/>
        <v>Off</v>
      </c>
      <c r="P293" t="str">
        <f t="shared" si="40"/>
        <v>Off</v>
      </c>
      <c r="Q293" t="str">
        <f t="shared" si="40"/>
        <v>Off</v>
      </c>
      <c r="R293" t="str">
        <f t="shared" si="40"/>
        <v>Off</v>
      </c>
      <c r="S293" t="str">
        <f t="shared" si="40"/>
        <v>Off</v>
      </c>
      <c r="T293" t="str">
        <f t="shared" si="40"/>
        <v>Off</v>
      </c>
      <c r="U293" t="str">
        <f t="shared" si="41"/>
        <v>Off</v>
      </c>
      <c r="V293" t="str">
        <f t="shared" si="41"/>
        <v>Off</v>
      </c>
      <c r="W293" t="str">
        <f t="shared" si="41"/>
        <v>Off</v>
      </c>
      <c r="X293" t="str">
        <f t="shared" si="41"/>
        <v>Off</v>
      </c>
      <c r="Y293" t="str">
        <f t="shared" si="41"/>
        <v>Off</v>
      </c>
      <c r="Z293" t="str">
        <f t="shared" si="41"/>
        <v>Off</v>
      </c>
      <c r="AA293" t="str">
        <f t="shared" si="41"/>
        <v>Off</v>
      </c>
      <c r="AB293" t="str">
        <f t="shared" si="41"/>
        <v>Off</v>
      </c>
      <c r="AC293" t="str">
        <f t="shared" si="41"/>
        <v>Off</v>
      </c>
      <c r="AD293" t="str">
        <f t="shared" si="41"/>
        <v>Off</v>
      </c>
      <c r="AE293" t="str">
        <f t="shared" si="42"/>
        <v>Off</v>
      </c>
      <c r="AF293" t="str">
        <f t="shared" si="42"/>
        <v>Off</v>
      </c>
      <c r="AG293" t="str">
        <f t="shared" si="42"/>
        <v>Off</v>
      </c>
      <c r="AH293" t="str">
        <f t="shared" si="42"/>
        <v>Off</v>
      </c>
      <c r="AI293" t="str">
        <f t="shared" si="42"/>
        <v>Off</v>
      </c>
      <c r="AJ293" t="str">
        <f t="shared" si="42"/>
        <v>Off</v>
      </c>
      <c r="AK293" t="str">
        <f t="shared" si="42"/>
        <v>Off</v>
      </c>
      <c r="AL293" t="str">
        <f t="shared" si="42"/>
        <v>Off</v>
      </c>
      <c r="AM293" t="str">
        <f t="shared" si="42"/>
        <v>Off</v>
      </c>
      <c r="AN293" t="str">
        <f t="shared" si="42"/>
        <v>Off</v>
      </c>
      <c r="AO293" t="str">
        <f t="shared" si="43"/>
        <v>Off</v>
      </c>
      <c r="AP293" t="str">
        <f t="shared" si="43"/>
        <v>Off</v>
      </c>
      <c r="AQ293" t="str">
        <f t="shared" si="43"/>
        <v>Off</v>
      </c>
      <c r="AR293" t="str">
        <f t="shared" si="43"/>
        <v>Off</v>
      </c>
      <c r="AS293" t="str">
        <f t="shared" si="43"/>
        <v>Off</v>
      </c>
      <c r="AT293" t="str">
        <f t="shared" si="43"/>
        <v>Off</v>
      </c>
      <c r="AU293" t="str">
        <f t="shared" si="43"/>
        <v>Off</v>
      </c>
      <c r="AV293" t="str">
        <f t="shared" si="43"/>
        <v>Off</v>
      </c>
      <c r="AW293" t="str">
        <f t="shared" si="43"/>
        <v>Off</v>
      </c>
      <c r="AX293" t="str">
        <f t="shared" si="43"/>
        <v>Off</v>
      </c>
      <c r="AY293" t="str">
        <f t="shared" si="44"/>
        <v>Off</v>
      </c>
      <c r="AZ293" t="str">
        <f t="shared" si="44"/>
        <v>Off</v>
      </c>
      <c r="BA293" t="str">
        <f t="shared" si="44"/>
        <v>Off</v>
      </c>
      <c r="BB293" t="str">
        <f t="shared" si="44"/>
        <v>Off</v>
      </c>
      <c r="BC293" t="str">
        <f t="shared" si="44"/>
        <v>Off</v>
      </c>
      <c r="BD293" t="str">
        <f t="shared" si="44"/>
        <v>Off</v>
      </c>
      <c r="BE293" t="str">
        <f t="shared" si="44"/>
        <v>Off</v>
      </c>
      <c r="BF293" t="str">
        <f t="shared" si="44"/>
        <v>Off</v>
      </c>
      <c r="BG293" t="str">
        <f t="shared" si="44"/>
        <v>Off</v>
      </c>
      <c r="BH293" t="str">
        <f t="shared" si="44"/>
        <v>Off</v>
      </c>
      <c r="BI293" t="str">
        <f t="shared" si="45"/>
        <v>Off</v>
      </c>
      <c r="BJ293" t="str">
        <f t="shared" si="45"/>
        <v>Off</v>
      </c>
      <c r="BK293" t="str">
        <f t="shared" si="45"/>
        <v>Off</v>
      </c>
      <c r="BL293" t="str">
        <f t="shared" si="45"/>
        <v>Off</v>
      </c>
      <c r="BM293" t="str">
        <f t="shared" si="45"/>
        <v>Off</v>
      </c>
      <c r="BN293" t="str">
        <f t="shared" si="45"/>
        <v>Off</v>
      </c>
      <c r="BO293" t="str">
        <f t="shared" si="45"/>
        <v>Off</v>
      </c>
      <c r="BP293" t="str">
        <f t="shared" si="45"/>
        <v>Off</v>
      </c>
      <c r="BQ293" t="str">
        <f t="shared" si="45"/>
        <v>Off</v>
      </c>
      <c r="BR293" t="str">
        <f t="shared" si="45"/>
        <v>Off</v>
      </c>
      <c r="BS293" t="str">
        <f t="shared" si="46"/>
        <v>Off</v>
      </c>
      <c r="BT293" t="str">
        <f t="shared" si="46"/>
        <v>Off</v>
      </c>
      <c r="BU293" t="str">
        <f t="shared" si="46"/>
        <v>Off</v>
      </c>
      <c r="BV293" t="str">
        <f t="shared" si="46"/>
        <v>Off</v>
      </c>
      <c r="BW293" t="str">
        <f t="shared" si="46"/>
        <v>Off</v>
      </c>
      <c r="BX293" t="str">
        <f t="shared" si="46"/>
        <v>Off</v>
      </c>
      <c r="BY293" t="str">
        <f t="shared" si="46"/>
        <v>Off</v>
      </c>
      <c r="BZ293" t="str">
        <f t="shared" si="46"/>
        <v>Off</v>
      </c>
      <c r="CA293" t="str">
        <f t="shared" si="46"/>
        <v>Off</v>
      </c>
      <c r="CB293" t="str">
        <f t="shared" si="46"/>
        <v>Off</v>
      </c>
      <c r="CC293" t="str">
        <f t="shared" si="47"/>
        <v>Off</v>
      </c>
      <c r="CD293" t="str">
        <f t="shared" si="47"/>
        <v>Off</v>
      </c>
      <c r="CE293" t="str">
        <f t="shared" si="47"/>
        <v>Off</v>
      </c>
      <c r="CF293" t="str">
        <f t="shared" si="47"/>
        <v>Off</v>
      </c>
      <c r="CG293" t="str">
        <f t="shared" si="47"/>
        <v>Off</v>
      </c>
      <c r="CH293" t="str">
        <f t="shared" si="47"/>
        <v>Off</v>
      </c>
      <c r="CI293" t="str">
        <f t="shared" si="47"/>
        <v>Off</v>
      </c>
      <c r="CJ293" t="str">
        <f t="shared" si="47"/>
        <v>Off</v>
      </c>
      <c r="CK293" t="str">
        <f t="shared" si="47"/>
        <v>Off</v>
      </c>
      <c r="CL293" t="str">
        <f t="shared" si="47"/>
        <v>Off</v>
      </c>
      <c r="CM293" t="str">
        <f t="shared" si="48"/>
        <v>Off</v>
      </c>
      <c r="CN293" t="str">
        <f t="shared" si="48"/>
        <v>Off</v>
      </c>
      <c r="CO293" t="str">
        <f t="shared" si="48"/>
        <v>Off</v>
      </c>
      <c r="CP293" t="str">
        <f t="shared" si="48"/>
        <v>Off</v>
      </c>
      <c r="CQ293" t="str">
        <f t="shared" si="48"/>
        <v>Off</v>
      </c>
      <c r="CR293" t="str">
        <f t="shared" si="48"/>
        <v>Off</v>
      </c>
      <c r="CS293" t="str">
        <f t="shared" si="48"/>
        <v>Off</v>
      </c>
      <c r="CT293" t="str">
        <f t="shared" si="48"/>
        <v>Off</v>
      </c>
      <c r="CU293" t="str">
        <f t="shared" si="48"/>
        <v>Off</v>
      </c>
      <c r="CV293" t="str">
        <f t="shared" si="48"/>
        <v>Off</v>
      </c>
      <c r="CW293" t="str">
        <f t="shared" si="48"/>
        <v>Off</v>
      </c>
    </row>
    <row r="294" spans="1:101">
      <c r="A294">
        <v>4</v>
      </c>
      <c r="B294" t="str">
        <f t="shared" si="49"/>
        <v>On</v>
      </c>
      <c r="C294" t="str">
        <f t="shared" si="49"/>
        <v>On</v>
      </c>
      <c r="D294" t="str">
        <f t="shared" si="49"/>
        <v>On</v>
      </c>
      <c r="E294" t="str">
        <f t="shared" si="50"/>
        <v>Off</v>
      </c>
      <c r="F294" t="str">
        <f t="shared" ref="F294:H304" si="51">"Off"</f>
        <v>Off</v>
      </c>
      <c r="G294" t="str">
        <f t="shared" si="51"/>
        <v>Off</v>
      </c>
      <c r="H294" t="str">
        <f t="shared" si="51"/>
        <v>Off</v>
      </c>
      <c r="I294" t="str">
        <f>"On"</f>
        <v>On</v>
      </c>
      <c r="J294" t="str">
        <f t="shared" si="39"/>
        <v>On</v>
      </c>
      <c r="K294" t="str">
        <f t="shared" si="40"/>
        <v>Off</v>
      </c>
      <c r="L294" t="str">
        <f t="shared" si="40"/>
        <v>Off</v>
      </c>
      <c r="M294" t="str">
        <f t="shared" si="40"/>
        <v>Off</v>
      </c>
      <c r="N294" t="str">
        <f t="shared" si="40"/>
        <v>Off</v>
      </c>
      <c r="O294" t="str">
        <f t="shared" si="40"/>
        <v>Off</v>
      </c>
      <c r="P294" t="str">
        <f t="shared" si="40"/>
        <v>Off</v>
      </c>
      <c r="Q294" t="str">
        <f t="shared" si="40"/>
        <v>Off</v>
      </c>
      <c r="R294" t="str">
        <f t="shared" si="40"/>
        <v>Off</v>
      </c>
      <c r="S294" t="str">
        <f t="shared" si="40"/>
        <v>Off</v>
      </c>
      <c r="T294" t="str">
        <f t="shared" si="40"/>
        <v>Off</v>
      </c>
      <c r="U294" t="str">
        <f t="shared" si="41"/>
        <v>Off</v>
      </c>
      <c r="V294" t="str">
        <f t="shared" si="41"/>
        <v>Off</v>
      </c>
      <c r="W294" t="str">
        <f t="shared" si="41"/>
        <v>Off</v>
      </c>
      <c r="X294" t="str">
        <f t="shared" si="41"/>
        <v>Off</v>
      </c>
      <c r="Y294" t="str">
        <f t="shared" si="41"/>
        <v>Off</v>
      </c>
      <c r="Z294" t="str">
        <f t="shared" si="41"/>
        <v>Off</v>
      </c>
      <c r="AA294" t="str">
        <f t="shared" si="41"/>
        <v>Off</v>
      </c>
      <c r="AB294" t="str">
        <f t="shared" si="41"/>
        <v>Off</v>
      </c>
      <c r="AC294" t="str">
        <f t="shared" si="41"/>
        <v>Off</v>
      </c>
      <c r="AD294" t="str">
        <f t="shared" si="41"/>
        <v>Off</v>
      </c>
      <c r="AE294" t="str">
        <f t="shared" si="42"/>
        <v>Off</v>
      </c>
      <c r="AF294" t="str">
        <f t="shared" si="42"/>
        <v>Off</v>
      </c>
      <c r="AG294" t="str">
        <f t="shared" si="42"/>
        <v>Off</v>
      </c>
      <c r="AH294" t="str">
        <f t="shared" si="42"/>
        <v>Off</v>
      </c>
      <c r="AI294" t="str">
        <f t="shared" si="42"/>
        <v>Off</v>
      </c>
      <c r="AJ294" t="str">
        <f t="shared" si="42"/>
        <v>Off</v>
      </c>
      <c r="AK294" t="str">
        <f t="shared" si="42"/>
        <v>Off</v>
      </c>
      <c r="AL294" t="str">
        <f t="shared" si="42"/>
        <v>Off</v>
      </c>
      <c r="AM294" t="str">
        <f t="shared" si="42"/>
        <v>Off</v>
      </c>
      <c r="AN294" t="str">
        <f t="shared" si="42"/>
        <v>Off</v>
      </c>
      <c r="AO294" t="str">
        <f t="shared" si="43"/>
        <v>Off</v>
      </c>
      <c r="AP294" t="str">
        <f t="shared" si="43"/>
        <v>Off</v>
      </c>
      <c r="AQ294" t="str">
        <f t="shared" si="43"/>
        <v>Off</v>
      </c>
      <c r="AR294" t="str">
        <f t="shared" si="43"/>
        <v>Off</v>
      </c>
      <c r="AS294" t="str">
        <f t="shared" si="43"/>
        <v>Off</v>
      </c>
      <c r="AT294" t="str">
        <f t="shared" si="43"/>
        <v>Off</v>
      </c>
      <c r="AU294" t="str">
        <f t="shared" si="43"/>
        <v>Off</v>
      </c>
      <c r="AV294" t="str">
        <f t="shared" si="43"/>
        <v>Off</v>
      </c>
      <c r="AW294" t="str">
        <f t="shared" si="43"/>
        <v>Off</v>
      </c>
      <c r="AX294" t="str">
        <f t="shared" si="43"/>
        <v>Off</v>
      </c>
      <c r="AY294" t="str">
        <f t="shared" si="44"/>
        <v>Off</v>
      </c>
      <c r="AZ294" t="str">
        <f t="shared" si="44"/>
        <v>Off</v>
      </c>
      <c r="BA294" t="str">
        <f t="shared" si="44"/>
        <v>Off</v>
      </c>
      <c r="BB294" t="str">
        <f t="shared" si="44"/>
        <v>Off</v>
      </c>
      <c r="BC294" t="str">
        <f t="shared" si="44"/>
        <v>Off</v>
      </c>
      <c r="BD294" t="str">
        <f t="shared" si="44"/>
        <v>Off</v>
      </c>
      <c r="BE294" t="str">
        <f t="shared" si="44"/>
        <v>Off</v>
      </c>
      <c r="BF294" t="str">
        <f t="shared" si="44"/>
        <v>Off</v>
      </c>
      <c r="BG294" t="str">
        <f t="shared" si="44"/>
        <v>Off</v>
      </c>
      <c r="BH294" t="str">
        <f t="shared" si="44"/>
        <v>Off</v>
      </c>
      <c r="BI294" t="str">
        <f t="shared" si="45"/>
        <v>Off</v>
      </c>
      <c r="BJ294" t="str">
        <f t="shared" si="45"/>
        <v>Off</v>
      </c>
      <c r="BK294" t="str">
        <f t="shared" si="45"/>
        <v>Off</v>
      </c>
      <c r="BL294" t="str">
        <f t="shared" si="45"/>
        <v>Off</v>
      </c>
      <c r="BM294" t="str">
        <f t="shared" si="45"/>
        <v>Off</v>
      </c>
      <c r="BN294" t="str">
        <f t="shared" si="45"/>
        <v>Off</v>
      </c>
      <c r="BO294" t="str">
        <f t="shared" si="45"/>
        <v>Off</v>
      </c>
      <c r="BP294" t="str">
        <f t="shared" si="45"/>
        <v>Off</v>
      </c>
      <c r="BQ294" t="str">
        <f t="shared" si="45"/>
        <v>Off</v>
      </c>
      <c r="BR294" t="str">
        <f t="shared" si="45"/>
        <v>Off</v>
      </c>
      <c r="BS294" t="str">
        <f t="shared" si="46"/>
        <v>Off</v>
      </c>
      <c r="BT294" t="str">
        <f t="shared" si="46"/>
        <v>Off</v>
      </c>
      <c r="BU294" t="str">
        <f t="shared" si="46"/>
        <v>Off</v>
      </c>
      <c r="BV294" t="str">
        <f t="shared" si="46"/>
        <v>Off</v>
      </c>
      <c r="BW294" t="str">
        <f t="shared" si="46"/>
        <v>Off</v>
      </c>
      <c r="BX294" t="str">
        <f t="shared" si="46"/>
        <v>Off</v>
      </c>
      <c r="BY294" t="str">
        <f t="shared" si="46"/>
        <v>Off</v>
      </c>
      <c r="BZ294" t="str">
        <f t="shared" si="46"/>
        <v>Off</v>
      </c>
      <c r="CA294" t="str">
        <f t="shared" si="46"/>
        <v>Off</v>
      </c>
      <c r="CB294" t="str">
        <f t="shared" si="46"/>
        <v>Off</v>
      </c>
      <c r="CC294" t="str">
        <f t="shared" si="47"/>
        <v>Off</v>
      </c>
      <c r="CD294" t="str">
        <f t="shared" si="47"/>
        <v>Off</v>
      </c>
      <c r="CE294" t="str">
        <f t="shared" si="47"/>
        <v>Off</v>
      </c>
      <c r="CF294" t="str">
        <f t="shared" si="47"/>
        <v>Off</v>
      </c>
      <c r="CG294" t="str">
        <f t="shared" si="47"/>
        <v>Off</v>
      </c>
      <c r="CH294" t="str">
        <f t="shared" si="47"/>
        <v>Off</v>
      </c>
      <c r="CI294" t="str">
        <f t="shared" si="47"/>
        <v>Off</v>
      </c>
      <c r="CJ294" t="str">
        <f t="shared" si="47"/>
        <v>Off</v>
      </c>
      <c r="CK294" t="str">
        <f t="shared" si="47"/>
        <v>Off</v>
      </c>
      <c r="CL294" t="str">
        <f t="shared" si="47"/>
        <v>Off</v>
      </c>
      <c r="CM294" t="str">
        <f t="shared" si="48"/>
        <v>Off</v>
      </c>
      <c r="CN294" t="str">
        <f t="shared" si="48"/>
        <v>Off</v>
      </c>
      <c r="CO294" t="str">
        <f t="shared" si="48"/>
        <v>Off</v>
      </c>
      <c r="CP294" t="str">
        <f t="shared" si="48"/>
        <v>Off</v>
      </c>
      <c r="CQ294" t="str">
        <f t="shared" si="48"/>
        <v>Off</v>
      </c>
      <c r="CR294" t="str">
        <f t="shared" si="48"/>
        <v>Off</v>
      </c>
      <c r="CS294" t="str">
        <f t="shared" si="48"/>
        <v>Off</v>
      </c>
      <c r="CT294" t="str">
        <f t="shared" si="48"/>
        <v>Off</v>
      </c>
      <c r="CU294" t="str">
        <f t="shared" si="48"/>
        <v>Off</v>
      </c>
      <c r="CV294" t="str">
        <f t="shared" si="48"/>
        <v>Off</v>
      </c>
      <c r="CW294" t="str">
        <f t="shared" si="48"/>
        <v>Off</v>
      </c>
    </row>
    <row r="295" spans="1:101">
      <c r="A295">
        <v>5</v>
      </c>
      <c r="B295" t="str">
        <f t="shared" si="49"/>
        <v>On</v>
      </c>
      <c r="C295" t="str">
        <f t="shared" si="49"/>
        <v>On</v>
      </c>
      <c r="D295" t="str">
        <f t="shared" si="49"/>
        <v>On</v>
      </c>
      <c r="E295" t="str">
        <f t="shared" si="50"/>
        <v>Off</v>
      </c>
      <c r="F295" t="str">
        <f t="shared" si="51"/>
        <v>Off</v>
      </c>
      <c r="G295" t="str">
        <f t="shared" si="51"/>
        <v>Off</v>
      </c>
      <c r="H295" t="str">
        <f t="shared" si="51"/>
        <v>Off</v>
      </c>
      <c r="I295" t="str">
        <f t="shared" ref="I295:I327" si="52">"Off"</f>
        <v>Off</v>
      </c>
      <c r="J295" t="str">
        <f t="shared" si="39"/>
        <v>On</v>
      </c>
      <c r="K295" t="str">
        <f t="shared" si="40"/>
        <v>Off</v>
      </c>
      <c r="L295" t="str">
        <f t="shared" si="40"/>
        <v>Off</v>
      </c>
      <c r="M295" t="str">
        <f t="shared" si="40"/>
        <v>Off</v>
      </c>
      <c r="N295" t="str">
        <f t="shared" si="40"/>
        <v>Off</v>
      </c>
      <c r="O295" t="str">
        <f t="shared" si="40"/>
        <v>Off</v>
      </c>
      <c r="P295" t="str">
        <f t="shared" si="40"/>
        <v>Off</v>
      </c>
      <c r="Q295" t="str">
        <f t="shared" si="40"/>
        <v>Off</v>
      </c>
      <c r="R295" t="str">
        <f t="shared" si="40"/>
        <v>Off</v>
      </c>
      <c r="S295" t="str">
        <f t="shared" si="40"/>
        <v>Off</v>
      </c>
      <c r="T295" t="str">
        <f t="shared" si="40"/>
        <v>Off</v>
      </c>
      <c r="U295" t="str">
        <f t="shared" si="41"/>
        <v>Off</v>
      </c>
      <c r="V295" t="str">
        <f t="shared" si="41"/>
        <v>Off</v>
      </c>
      <c r="W295" t="str">
        <f t="shared" si="41"/>
        <v>Off</v>
      </c>
      <c r="X295" t="str">
        <f t="shared" si="41"/>
        <v>Off</v>
      </c>
      <c r="Y295" t="str">
        <f t="shared" si="41"/>
        <v>Off</v>
      </c>
      <c r="Z295" t="str">
        <f t="shared" si="41"/>
        <v>Off</v>
      </c>
      <c r="AA295" t="str">
        <f t="shared" si="41"/>
        <v>Off</v>
      </c>
      <c r="AB295" t="str">
        <f t="shared" si="41"/>
        <v>Off</v>
      </c>
      <c r="AC295" t="str">
        <f t="shared" si="41"/>
        <v>Off</v>
      </c>
      <c r="AD295" t="str">
        <f t="shared" si="41"/>
        <v>Off</v>
      </c>
      <c r="AE295" t="str">
        <f t="shared" si="42"/>
        <v>Off</v>
      </c>
      <c r="AF295" t="str">
        <f t="shared" si="42"/>
        <v>Off</v>
      </c>
      <c r="AG295" t="str">
        <f t="shared" si="42"/>
        <v>Off</v>
      </c>
      <c r="AH295" t="str">
        <f t="shared" si="42"/>
        <v>Off</v>
      </c>
      <c r="AI295" t="str">
        <f t="shared" si="42"/>
        <v>Off</v>
      </c>
      <c r="AJ295" t="str">
        <f t="shared" si="42"/>
        <v>Off</v>
      </c>
      <c r="AK295" t="str">
        <f t="shared" si="42"/>
        <v>Off</v>
      </c>
      <c r="AL295" t="str">
        <f t="shared" si="42"/>
        <v>Off</v>
      </c>
      <c r="AM295" t="str">
        <f t="shared" si="42"/>
        <v>Off</v>
      </c>
      <c r="AN295" t="str">
        <f t="shared" si="42"/>
        <v>Off</v>
      </c>
      <c r="AO295" t="str">
        <f t="shared" si="43"/>
        <v>Off</v>
      </c>
      <c r="AP295" t="str">
        <f t="shared" si="43"/>
        <v>Off</v>
      </c>
      <c r="AQ295" t="str">
        <f t="shared" si="43"/>
        <v>Off</v>
      </c>
      <c r="AR295" t="str">
        <f t="shared" si="43"/>
        <v>Off</v>
      </c>
      <c r="AS295" t="str">
        <f t="shared" si="43"/>
        <v>Off</v>
      </c>
      <c r="AT295" t="str">
        <f t="shared" si="43"/>
        <v>Off</v>
      </c>
      <c r="AU295" t="str">
        <f t="shared" si="43"/>
        <v>Off</v>
      </c>
      <c r="AV295" t="str">
        <f t="shared" si="43"/>
        <v>Off</v>
      </c>
      <c r="AW295" t="str">
        <f t="shared" si="43"/>
        <v>Off</v>
      </c>
      <c r="AX295" t="str">
        <f t="shared" si="43"/>
        <v>Off</v>
      </c>
      <c r="AY295" t="str">
        <f t="shared" si="44"/>
        <v>Off</v>
      </c>
      <c r="AZ295" t="str">
        <f t="shared" si="44"/>
        <v>Off</v>
      </c>
      <c r="BA295" t="str">
        <f t="shared" si="44"/>
        <v>Off</v>
      </c>
      <c r="BB295" t="str">
        <f t="shared" si="44"/>
        <v>Off</v>
      </c>
      <c r="BC295" t="str">
        <f t="shared" si="44"/>
        <v>Off</v>
      </c>
      <c r="BD295" t="str">
        <f t="shared" si="44"/>
        <v>Off</v>
      </c>
      <c r="BE295" t="str">
        <f t="shared" si="44"/>
        <v>Off</v>
      </c>
      <c r="BF295" t="str">
        <f t="shared" si="44"/>
        <v>Off</v>
      </c>
      <c r="BG295" t="str">
        <f t="shared" si="44"/>
        <v>Off</v>
      </c>
      <c r="BH295" t="str">
        <f t="shared" si="44"/>
        <v>Off</v>
      </c>
      <c r="BI295" t="str">
        <f t="shared" si="45"/>
        <v>Off</v>
      </c>
      <c r="BJ295" t="str">
        <f t="shared" si="45"/>
        <v>Off</v>
      </c>
      <c r="BK295" t="str">
        <f t="shared" si="45"/>
        <v>Off</v>
      </c>
      <c r="BL295" t="str">
        <f t="shared" si="45"/>
        <v>Off</v>
      </c>
      <c r="BM295" t="str">
        <f t="shared" si="45"/>
        <v>Off</v>
      </c>
      <c r="BN295" t="str">
        <f t="shared" si="45"/>
        <v>Off</v>
      </c>
      <c r="BO295" t="str">
        <f t="shared" si="45"/>
        <v>Off</v>
      </c>
      <c r="BP295" t="str">
        <f t="shared" si="45"/>
        <v>Off</v>
      </c>
      <c r="BQ295" t="str">
        <f t="shared" si="45"/>
        <v>Off</v>
      </c>
      <c r="BR295" t="str">
        <f t="shared" si="45"/>
        <v>Off</v>
      </c>
      <c r="BS295" t="str">
        <f t="shared" si="46"/>
        <v>Off</v>
      </c>
      <c r="BT295" t="str">
        <f t="shared" si="46"/>
        <v>Off</v>
      </c>
      <c r="BU295" t="str">
        <f t="shared" si="46"/>
        <v>Off</v>
      </c>
      <c r="BV295" t="str">
        <f t="shared" si="46"/>
        <v>Off</v>
      </c>
      <c r="BW295" t="str">
        <f t="shared" si="46"/>
        <v>Off</v>
      </c>
      <c r="BX295" t="str">
        <f t="shared" si="46"/>
        <v>Off</v>
      </c>
      <c r="BY295" t="str">
        <f t="shared" si="46"/>
        <v>Off</v>
      </c>
      <c r="BZ295" t="str">
        <f t="shared" si="46"/>
        <v>Off</v>
      </c>
      <c r="CA295" t="str">
        <f t="shared" si="46"/>
        <v>Off</v>
      </c>
      <c r="CB295" t="str">
        <f t="shared" si="46"/>
        <v>Off</v>
      </c>
      <c r="CC295" t="str">
        <f t="shared" si="47"/>
        <v>Off</v>
      </c>
      <c r="CD295" t="str">
        <f t="shared" si="47"/>
        <v>Off</v>
      </c>
      <c r="CE295" t="str">
        <f t="shared" si="47"/>
        <v>Off</v>
      </c>
      <c r="CF295" t="str">
        <f t="shared" si="47"/>
        <v>Off</v>
      </c>
      <c r="CG295" t="str">
        <f t="shared" si="47"/>
        <v>Off</v>
      </c>
      <c r="CH295" t="str">
        <f t="shared" si="47"/>
        <v>Off</v>
      </c>
      <c r="CI295" t="str">
        <f t="shared" si="47"/>
        <v>Off</v>
      </c>
      <c r="CJ295" t="str">
        <f t="shared" si="47"/>
        <v>Off</v>
      </c>
      <c r="CK295" t="str">
        <f t="shared" si="47"/>
        <v>Off</v>
      </c>
      <c r="CL295" t="str">
        <f t="shared" si="47"/>
        <v>Off</v>
      </c>
      <c r="CM295" t="str">
        <f t="shared" si="48"/>
        <v>Off</v>
      </c>
      <c r="CN295" t="str">
        <f t="shared" si="48"/>
        <v>Off</v>
      </c>
      <c r="CO295" t="str">
        <f t="shared" si="48"/>
        <v>Off</v>
      </c>
      <c r="CP295" t="str">
        <f t="shared" si="48"/>
        <v>Off</v>
      </c>
      <c r="CQ295" t="str">
        <f t="shared" si="48"/>
        <v>Off</v>
      </c>
      <c r="CR295" t="str">
        <f t="shared" si="48"/>
        <v>Off</v>
      </c>
      <c r="CS295" t="str">
        <f t="shared" si="48"/>
        <v>Off</v>
      </c>
      <c r="CT295" t="str">
        <f t="shared" si="48"/>
        <v>Off</v>
      </c>
      <c r="CU295" t="str">
        <f t="shared" si="48"/>
        <v>Off</v>
      </c>
      <c r="CV295" t="str">
        <f t="shared" si="48"/>
        <v>Off</v>
      </c>
      <c r="CW295" t="str">
        <f t="shared" si="48"/>
        <v>Off</v>
      </c>
    </row>
    <row r="296" spans="1:101">
      <c r="A296">
        <v>6</v>
      </c>
      <c r="B296" t="str">
        <f t="shared" si="49"/>
        <v>On</v>
      </c>
      <c r="C296" t="str">
        <f t="shared" si="49"/>
        <v>On</v>
      </c>
      <c r="D296" t="str">
        <f t="shared" si="49"/>
        <v>On</v>
      </c>
      <c r="E296" t="str">
        <f t="shared" si="50"/>
        <v>Off</v>
      </c>
      <c r="F296" t="str">
        <f t="shared" si="51"/>
        <v>Off</v>
      </c>
      <c r="G296" t="str">
        <f t="shared" si="51"/>
        <v>Off</v>
      </c>
      <c r="H296" t="str">
        <f t="shared" si="51"/>
        <v>Off</v>
      </c>
      <c r="I296" t="str">
        <f t="shared" si="52"/>
        <v>Off</v>
      </c>
      <c r="J296" t="str">
        <f t="shared" si="39"/>
        <v>On</v>
      </c>
      <c r="K296" t="str">
        <f t="shared" si="40"/>
        <v>Off</v>
      </c>
      <c r="L296" t="str">
        <f t="shared" si="40"/>
        <v>Off</v>
      </c>
      <c r="M296" t="str">
        <f t="shared" si="40"/>
        <v>Off</v>
      </c>
      <c r="N296" t="str">
        <f t="shared" si="40"/>
        <v>Off</v>
      </c>
      <c r="O296" t="str">
        <f t="shared" si="40"/>
        <v>Off</v>
      </c>
      <c r="P296" t="str">
        <f t="shared" si="40"/>
        <v>Off</v>
      </c>
      <c r="Q296" t="str">
        <f t="shared" si="40"/>
        <v>Off</v>
      </c>
      <c r="R296" t="str">
        <f t="shared" si="40"/>
        <v>Off</v>
      </c>
      <c r="S296" t="str">
        <f t="shared" si="40"/>
        <v>Off</v>
      </c>
      <c r="T296" t="str">
        <f t="shared" si="40"/>
        <v>Off</v>
      </c>
      <c r="U296" t="str">
        <f t="shared" si="41"/>
        <v>Off</v>
      </c>
      <c r="V296" t="str">
        <f t="shared" si="41"/>
        <v>Off</v>
      </c>
      <c r="W296" t="str">
        <f t="shared" si="41"/>
        <v>Off</v>
      </c>
      <c r="X296" t="str">
        <f t="shared" si="41"/>
        <v>Off</v>
      </c>
      <c r="Y296" t="str">
        <f t="shared" si="41"/>
        <v>Off</v>
      </c>
      <c r="Z296" t="str">
        <f t="shared" si="41"/>
        <v>Off</v>
      </c>
      <c r="AA296" t="str">
        <f t="shared" si="41"/>
        <v>Off</v>
      </c>
      <c r="AB296" t="str">
        <f t="shared" si="41"/>
        <v>Off</v>
      </c>
      <c r="AC296" t="str">
        <f t="shared" si="41"/>
        <v>Off</v>
      </c>
      <c r="AD296" t="str">
        <f t="shared" si="41"/>
        <v>Off</v>
      </c>
      <c r="AE296" t="str">
        <f t="shared" si="42"/>
        <v>Off</v>
      </c>
      <c r="AF296" t="str">
        <f t="shared" si="42"/>
        <v>Off</v>
      </c>
      <c r="AG296" t="str">
        <f t="shared" si="42"/>
        <v>Off</v>
      </c>
      <c r="AH296" t="str">
        <f t="shared" si="42"/>
        <v>Off</v>
      </c>
      <c r="AI296" t="str">
        <f t="shared" si="42"/>
        <v>Off</v>
      </c>
      <c r="AJ296" t="str">
        <f t="shared" si="42"/>
        <v>Off</v>
      </c>
      <c r="AK296" t="str">
        <f t="shared" si="42"/>
        <v>Off</v>
      </c>
      <c r="AL296" t="str">
        <f t="shared" si="42"/>
        <v>Off</v>
      </c>
      <c r="AM296" t="str">
        <f t="shared" si="42"/>
        <v>Off</v>
      </c>
      <c r="AN296" t="str">
        <f t="shared" si="42"/>
        <v>Off</v>
      </c>
      <c r="AO296" t="str">
        <f t="shared" si="43"/>
        <v>Off</v>
      </c>
      <c r="AP296" t="str">
        <f t="shared" si="43"/>
        <v>Off</v>
      </c>
      <c r="AQ296" t="str">
        <f t="shared" si="43"/>
        <v>Off</v>
      </c>
      <c r="AR296" t="str">
        <f t="shared" si="43"/>
        <v>Off</v>
      </c>
      <c r="AS296" t="str">
        <f t="shared" si="43"/>
        <v>Off</v>
      </c>
      <c r="AT296" t="str">
        <f t="shared" si="43"/>
        <v>Off</v>
      </c>
      <c r="AU296" t="str">
        <f t="shared" si="43"/>
        <v>Off</v>
      </c>
      <c r="AV296" t="str">
        <f t="shared" si="43"/>
        <v>Off</v>
      </c>
      <c r="AW296" t="str">
        <f t="shared" si="43"/>
        <v>Off</v>
      </c>
      <c r="AX296" t="str">
        <f t="shared" si="43"/>
        <v>Off</v>
      </c>
      <c r="AY296" t="str">
        <f t="shared" si="44"/>
        <v>Off</v>
      </c>
      <c r="AZ296" t="str">
        <f t="shared" si="44"/>
        <v>Off</v>
      </c>
      <c r="BA296" t="str">
        <f t="shared" si="44"/>
        <v>Off</v>
      </c>
      <c r="BB296" t="str">
        <f t="shared" si="44"/>
        <v>Off</v>
      </c>
      <c r="BC296" t="str">
        <f t="shared" si="44"/>
        <v>Off</v>
      </c>
      <c r="BD296" t="str">
        <f t="shared" si="44"/>
        <v>Off</v>
      </c>
      <c r="BE296" t="str">
        <f t="shared" si="44"/>
        <v>Off</v>
      </c>
      <c r="BF296" t="str">
        <f t="shared" si="44"/>
        <v>Off</v>
      </c>
      <c r="BG296" t="str">
        <f t="shared" si="44"/>
        <v>Off</v>
      </c>
      <c r="BH296" t="str">
        <f t="shared" si="44"/>
        <v>Off</v>
      </c>
      <c r="BI296" t="str">
        <f t="shared" si="45"/>
        <v>Off</v>
      </c>
      <c r="BJ296" t="str">
        <f t="shared" si="45"/>
        <v>Off</v>
      </c>
      <c r="BK296" t="str">
        <f t="shared" si="45"/>
        <v>Off</v>
      </c>
      <c r="BL296" t="str">
        <f t="shared" si="45"/>
        <v>Off</v>
      </c>
      <c r="BM296" t="str">
        <f t="shared" si="45"/>
        <v>Off</v>
      </c>
      <c r="BN296" t="str">
        <f t="shared" si="45"/>
        <v>Off</v>
      </c>
      <c r="BO296" t="str">
        <f t="shared" si="45"/>
        <v>Off</v>
      </c>
      <c r="BP296" t="str">
        <f t="shared" si="45"/>
        <v>Off</v>
      </c>
      <c r="BQ296" t="str">
        <f t="shared" si="45"/>
        <v>Off</v>
      </c>
      <c r="BR296" t="str">
        <f t="shared" si="45"/>
        <v>Off</v>
      </c>
      <c r="BS296" t="str">
        <f t="shared" si="46"/>
        <v>Off</v>
      </c>
      <c r="BT296" t="str">
        <f t="shared" si="46"/>
        <v>Off</v>
      </c>
      <c r="BU296" t="str">
        <f t="shared" si="46"/>
        <v>Off</v>
      </c>
      <c r="BV296" t="str">
        <f t="shared" si="46"/>
        <v>Off</v>
      </c>
      <c r="BW296" t="str">
        <f t="shared" si="46"/>
        <v>Off</v>
      </c>
      <c r="BX296" t="str">
        <f t="shared" si="46"/>
        <v>Off</v>
      </c>
      <c r="BY296" t="str">
        <f t="shared" si="46"/>
        <v>Off</v>
      </c>
      <c r="BZ296" t="str">
        <f t="shared" si="46"/>
        <v>Off</v>
      </c>
      <c r="CA296" t="str">
        <f t="shared" si="46"/>
        <v>Off</v>
      </c>
      <c r="CB296" t="str">
        <f t="shared" si="46"/>
        <v>Off</v>
      </c>
      <c r="CC296" t="str">
        <f t="shared" si="47"/>
        <v>Off</v>
      </c>
      <c r="CD296" t="str">
        <f t="shared" si="47"/>
        <v>Off</v>
      </c>
      <c r="CE296" t="str">
        <f t="shared" si="47"/>
        <v>Off</v>
      </c>
      <c r="CF296" t="str">
        <f t="shared" si="47"/>
        <v>Off</v>
      </c>
      <c r="CG296" t="str">
        <f t="shared" si="47"/>
        <v>Off</v>
      </c>
      <c r="CH296" t="str">
        <f t="shared" si="47"/>
        <v>Off</v>
      </c>
      <c r="CI296" t="str">
        <f t="shared" si="47"/>
        <v>Off</v>
      </c>
      <c r="CJ296" t="str">
        <f t="shared" si="47"/>
        <v>Off</v>
      </c>
      <c r="CK296" t="str">
        <f t="shared" si="47"/>
        <v>Off</v>
      </c>
      <c r="CL296" t="str">
        <f t="shared" si="47"/>
        <v>Off</v>
      </c>
      <c r="CM296" t="str">
        <f t="shared" si="48"/>
        <v>Off</v>
      </c>
      <c r="CN296" t="str">
        <f t="shared" si="48"/>
        <v>Off</v>
      </c>
      <c r="CO296" t="str">
        <f t="shared" si="48"/>
        <v>Off</v>
      </c>
      <c r="CP296" t="str">
        <f t="shared" si="48"/>
        <v>Off</v>
      </c>
      <c r="CQ296" t="str">
        <f t="shared" si="48"/>
        <v>Off</v>
      </c>
      <c r="CR296" t="str">
        <f t="shared" si="48"/>
        <v>Off</v>
      </c>
      <c r="CS296" t="str">
        <f t="shared" si="48"/>
        <v>Off</v>
      </c>
      <c r="CT296" t="str">
        <f t="shared" si="48"/>
        <v>Off</v>
      </c>
      <c r="CU296" t="str">
        <f t="shared" si="48"/>
        <v>Off</v>
      </c>
      <c r="CV296" t="str">
        <f t="shared" si="48"/>
        <v>Off</v>
      </c>
      <c r="CW296" t="str">
        <f t="shared" si="48"/>
        <v>Off</v>
      </c>
    </row>
    <row r="297" spans="1:101">
      <c r="A297">
        <v>7</v>
      </c>
      <c r="B297" t="str">
        <f t="shared" si="49"/>
        <v>On</v>
      </c>
      <c r="C297" t="str">
        <f t="shared" si="49"/>
        <v>On</v>
      </c>
      <c r="D297" t="str">
        <f t="shared" si="49"/>
        <v>On</v>
      </c>
      <c r="E297" t="str">
        <f t="shared" si="50"/>
        <v>Off</v>
      </c>
      <c r="F297" t="str">
        <f t="shared" si="51"/>
        <v>Off</v>
      </c>
      <c r="G297" t="str">
        <f t="shared" si="51"/>
        <v>Off</v>
      </c>
      <c r="H297" t="str">
        <f t="shared" si="51"/>
        <v>Off</v>
      </c>
      <c r="I297" t="str">
        <f t="shared" si="52"/>
        <v>Off</v>
      </c>
      <c r="J297" t="str">
        <f t="shared" si="39"/>
        <v>On</v>
      </c>
      <c r="K297" t="str">
        <f t="shared" si="40"/>
        <v>Off</v>
      </c>
      <c r="L297" t="str">
        <f t="shared" si="40"/>
        <v>Off</v>
      </c>
      <c r="M297" t="str">
        <f t="shared" si="40"/>
        <v>Off</v>
      </c>
      <c r="N297" t="str">
        <f t="shared" si="40"/>
        <v>Off</v>
      </c>
      <c r="O297" t="str">
        <f t="shared" si="40"/>
        <v>Off</v>
      </c>
      <c r="P297" t="str">
        <f t="shared" si="40"/>
        <v>Off</v>
      </c>
      <c r="Q297" t="str">
        <f t="shared" si="40"/>
        <v>Off</v>
      </c>
      <c r="R297" t="str">
        <f t="shared" si="40"/>
        <v>Off</v>
      </c>
      <c r="S297" t="str">
        <f t="shared" si="40"/>
        <v>Off</v>
      </c>
      <c r="T297" t="str">
        <f t="shared" si="40"/>
        <v>Off</v>
      </c>
      <c r="U297" t="str">
        <f t="shared" si="41"/>
        <v>Off</v>
      </c>
      <c r="V297" t="str">
        <f t="shared" si="41"/>
        <v>Off</v>
      </c>
      <c r="W297" t="str">
        <f t="shared" si="41"/>
        <v>Off</v>
      </c>
      <c r="X297" t="str">
        <f t="shared" si="41"/>
        <v>Off</v>
      </c>
      <c r="Y297" t="str">
        <f t="shared" si="41"/>
        <v>Off</v>
      </c>
      <c r="Z297" t="str">
        <f t="shared" si="41"/>
        <v>Off</v>
      </c>
      <c r="AA297" t="str">
        <f t="shared" si="41"/>
        <v>Off</v>
      </c>
      <c r="AB297" t="str">
        <f t="shared" si="41"/>
        <v>Off</v>
      </c>
      <c r="AC297" t="str">
        <f t="shared" si="41"/>
        <v>Off</v>
      </c>
      <c r="AD297" t="str">
        <f t="shared" si="41"/>
        <v>Off</v>
      </c>
      <c r="AE297" t="str">
        <f t="shared" si="42"/>
        <v>Off</v>
      </c>
      <c r="AF297" t="str">
        <f t="shared" si="42"/>
        <v>Off</v>
      </c>
      <c r="AG297" t="str">
        <f t="shared" si="42"/>
        <v>Off</v>
      </c>
      <c r="AH297" t="str">
        <f t="shared" si="42"/>
        <v>Off</v>
      </c>
      <c r="AI297" t="str">
        <f t="shared" si="42"/>
        <v>Off</v>
      </c>
      <c r="AJ297" t="str">
        <f t="shared" si="42"/>
        <v>Off</v>
      </c>
      <c r="AK297" t="str">
        <f t="shared" si="42"/>
        <v>Off</v>
      </c>
      <c r="AL297" t="str">
        <f t="shared" si="42"/>
        <v>Off</v>
      </c>
      <c r="AM297" t="str">
        <f t="shared" si="42"/>
        <v>Off</v>
      </c>
      <c r="AN297" t="str">
        <f t="shared" si="42"/>
        <v>Off</v>
      </c>
      <c r="AO297" t="str">
        <f t="shared" si="43"/>
        <v>Off</v>
      </c>
      <c r="AP297" t="str">
        <f t="shared" si="43"/>
        <v>Off</v>
      </c>
      <c r="AQ297" t="str">
        <f t="shared" si="43"/>
        <v>Off</v>
      </c>
      <c r="AR297" t="str">
        <f t="shared" si="43"/>
        <v>Off</v>
      </c>
      <c r="AS297" t="str">
        <f t="shared" si="43"/>
        <v>Off</v>
      </c>
      <c r="AT297" t="str">
        <f t="shared" si="43"/>
        <v>Off</v>
      </c>
      <c r="AU297" t="str">
        <f t="shared" si="43"/>
        <v>Off</v>
      </c>
      <c r="AV297" t="str">
        <f t="shared" si="43"/>
        <v>Off</v>
      </c>
      <c r="AW297" t="str">
        <f t="shared" si="43"/>
        <v>Off</v>
      </c>
      <c r="AX297" t="str">
        <f t="shared" si="43"/>
        <v>Off</v>
      </c>
      <c r="AY297" t="str">
        <f t="shared" si="44"/>
        <v>Off</v>
      </c>
      <c r="AZ297" t="str">
        <f t="shared" si="44"/>
        <v>Off</v>
      </c>
      <c r="BA297" t="str">
        <f t="shared" si="44"/>
        <v>Off</v>
      </c>
      <c r="BB297" t="str">
        <f t="shared" si="44"/>
        <v>Off</v>
      </c>
      <c r="BC297" t="str">
        <f t="shared" si="44"/>
        <v>Off</v>
      </c>
      <c r="BD297" t="str">
        <f t="shared" si="44"/>
        <v>Off</v>
      </c>
      <c r="BE297" t="str">
        <f t="shared" si="44"/>
        <v>Off</v>
      </c>
      <c r="BF297" t="str">
        <f t="shared" si="44"/>
        <v>Off</v>
      </c>
      <c r="BG297" t="str">
        <f t="shared" si="44"/>
        <v>Off</v>
      </c>
      <c r="BH297" t="str">
        <f t="shared" si="44"/>
        <v>Off</v>
      </c>
      <c r="BI297" t="str">
        <f t="shared" si="45"/>
        <v>Off</v>
      </c>
      <c r="BJ297" t="str">
        <f t="shared" si="45"/>
        <v>Off</v>
      </c>
      <c r="BK297" t="str">
        <f t="shared" si="45"/>
        <v>Off</v>
      </c>
      <c r="BL297" t="str">
        <f t="shared" si="45"/>
        <v>Off</v>
      </c>
      <c r="BM297" t="str">
        <f t="shared" si="45"/>
        <v>Off</v>
      </c>
      <c r="BN297" t="str">
        <f t="shared" si="45"/>
        <v>Off</v>
      </c>
      <c r="BO297" t="str">
        <f t="shared" si="45"/>
        <v>Off</v>
      </c>
      <c r="BP297" t="str">
        <f t="shared" si="45"/>
        <v>Off</v>
      </c>
      <c r="BQ297" t="str">
        <f t="shared" si="45"/>
        <v>Off</v>
      </c>
      <c r="BR297" t="str">
        <f t="shared" si="45"/>
        <v>Off</v>
      </c>
      <c r="BS297" t="str">
        <f t="shared" si="46"/>
        <v>Off</v>
      </c>
      <c r="BT297" t="str">
        <f t="shared" si="46"/>
        <v>Off</v>
      </c>
      <c r="BU297" t="str">
        <f t="shared" si="46"/>
        <v>Off</v>
      </c>
      <c r="BV297" t="str">
        <f t="shared" si="46"/>
        <v>Off</v>
      </c>
      <c r="BW297" t="str">
        <f t="shared" si="46"/>
        <v>Off</v>
      </c>
      <c r="BX297" t="str">
        <f t="shared" si="46"/>
        <v>Off</v>
      </c>
      <c r="BY297" t="str">
        <f t="shared" si="46"/>
        <v>Off</v>
      </c>
      <c r="BZ297" t="str">
        <f t="shared" si="46"/>
        <v>Off</v>
      </c>
      <c r="CA297" t="str">
        <f t="shared" si="46"/>
        <v>Off</v>
      </c>
      <c r="CB297" t="str">
        <f t="shared" si="46"/>
        <v>Off</v>
      </c>
      <c r="CC297" t="str">
        <f t="shared" si="47"/>
        <v>Off</v>
      </c>
      <c r="CD297" t="str">
        <f t="shared" si="47"/>
        <v>Off</v>
      </c>
      <c r="CE297" t="str">
        <f t="shared" si="47"/>
        <v>Off</v>
      </c>
      <c r="CF297" t="str">
        <f t="shared" si="47"/>
        <v>Off</v>
      </c>
      <c r="CG297" t="str">
        <f t="shared" si="47"/>
        <v>Off</v>
      </c>
      <c r="CH297" t="str">
        <f t="shared" si="47"/>
        <v>Off</v>
      </c>
      <c r="CI297" t="str">
        <f t="shared" si="47"/>
        <v>Off</v>
      </c>
      <c r="CJ297" t="str">
        <f t="shared" si="47"/>
        <v>Off</v>
      </c>
      <c r="CK297" t="str">
        <f t="shared" si="47"/>
        <v>Off</v>
      </c>
      <c r="CL297" t="str">
        <f t="shared" si="47"/>
        <v>Off</v>
      </c>
      <c r="CM297" t="str">
        <f t="shared" si="48"/>
        <v>Off</v>
      </c>
      <c r="CN297" t="str">
        <f t="shared" si="48"/>
        <v>Off</v>
      </c>
      <c r="CO297" t="str">
        <f t="shared" si="48"/>
        <v>Off</v>
      </c>
      <c r="CP297" t="str">
        <f t="shared" si="48"/>
        <v>Off</v>
      </c>
      <c r="CQ297" t="str">
        <f t="shared" si="48"/>
        <v>Off</v>
      </c>
      <c r="CR297" t="str">
        <f t="shared" si="48"/>
        <v>Off</v>
      </c>
      <c r="CS297" t="str">
        <f t="shared" si="48"/>
        <v>Off</v>
      </c>
      <c r="CT297" t="str">
        <f t="shared" si="48"/>
        <v>Off</v>
      </c>
      <c r="CU297" t="str">
        <f t="shared" si="48"/>
        <v>Off</v>
      </c>
      <c r="CV297" t="str">
        <f t="shared" si="48"/>
        <v>Off</v>
      </c>
      <c r="CW297" t="str">
        <f t="shared" si="48"/>
        <v>Off</v>
      </c>
    </row>
    <row r="298" spans="1:101">
      <c r="A298">
        <v>8</v>
      </c>
      <c r="B298" t="str">
        <f t="shared" si="49"/>
        <v>On</v>
      </c>
      <c r="C298" t="str">
        <f t="shared" si="49"/>
        <v>On</v>
      </c>
      <c r="D298" t="str">
        <f t="shared" si="49"/>
        <v>On</v>
      </c>
      <c r="E298" t="str">
        <f t="shared" si="50"/>
        <v>Off</v>
      </c>
      <c r="F298" t="str">
        <f t="shared" si="51"/>
        <v>Off</v>
      </c>
      <c r="G298" t="str">
        <f t="shared" si="51"/>
        <v>Off</v>
      </c>
      <c r="H298" t="str">
        <f t="shared" si="51"/>
        <v>Off</v>
      </c>
      <c r="I298" t="str">
        <f t="shared" si="52"/>
        <v>Off</v>
      </c>
      <c r="J298" t="str">
        <f t="shared" ref="J298:J331" si="53">"Off"</f>
        <v>Off</v>
      </c>
      <c r="K298" t="str">
        <f t="shared" si="40"/>
        <v>Off</v>
      </c>
      <c r="L298" t="str">
        <f t="shared" si="40"/>
        <v>Off</v>
      </c>
      <c r="M298" t="str">
        <f t="shared" si="40"/>
        <v>Off</v>
      </c>
      <c r="N298" t="str">
        <f t="shared" si="40"/>
        <v>Off</v>
      </c>
      <c r="O298" t="str">
        <f t="shared" si="40"/>
        <v>Off</v>
      </c>
      <c r="P298" t="str">
        <f t="shared" si="40"/>
        <v>Off</v>
      </c>
      <c r="Q298" t="str">
        <f t="shared" si="40"/>
        <v>Off</v>
      </c>
      <c r="R298" t="str">
        <f t="shared" si="40"/>
        <v>Off</v>
      </c>
      <c r="S298" t="str">
        <f t="shared" si="40"/>
        <v>Off</v>
      </c>
      <c r="T298" t="str">
        <f t="shared" si="40"/>
        <v>Off</v>
      </c>
      <c r="U298" t="str">
        <f t="shared" si="41"/>
        <v>Off</v>
      </c>
      <c r="V298" t="str">
        <f t="shared" si="41"/>
        <v>Off</v>
      </c>
      <c r="W298" t="str">
        <f t="shared" si="41"/>
        <v>Off</v>
      </c>
      <c r="X298" t="str">
        <f t="shared" si="41"/>
        <v>Off</v>
      </c>
      <c r="Y298" t="str">
        <f t="shared" si="41"/>
        <v>Off</v>
      </c>
      <c r="Z298" t="str">
        <f t="shared" si="41"/>
        <v>Off</v>
      </c>
      <c r="AA298" t="str">
        <f t="shared" si="41"/>
        <v>Off</v>
      </c>
      <c r="AB298" t="str">
        <f t="shared" si="41"/>
        <v>Off</v>
      </c>
      <c r="AC298" t="str">
        <f t="shared" si="41"/>
        <v>Off</v>
      </c>
      <c r="AD298" t="str">
        <f t="shared" si="41"/>
        <v>Off</v>
      </c>
      <c r="AE298" t="str">
        <f t="shared" si="42"/>
        <v>Off</v>
      </c>
      <c r="AF298" t="str">
        <f t="shared" si="42"/>
        <v>Off</v>
      </c>
      <c r="AG298" t="str">
        <f t="shared" si="42"/>
        <v>Off</v>
      </c>
      <c r="AH298" t="str">
        <f t="shared" si="42"/>
        <v>Off</v>
      </c>
      <c r="AI298" t="str">
        <f t="shared" si="42"/>
        <v>Off</v>
      </c>
      <c r="AJ298" t="str">
        <f t="shared" si="42"/>
        <v>Off</v>
      </c>
      <c r="AK298" t="str">
        <f t="shared" si="42"/>
        <v>Off</v>
      </c>
      <c r="AL298" t="str">
        <f t="shared" si="42"/>
        <v>Off</v>
      </c>
      <c r="AM298" t="str">
        <f t="shared" si="42"/>
        <v>Off</v>
      </c>
      <c r="AN298" t="str">
        <f t="shared" si="42"/>
        <v>Off</v>
      </c>
      <c r="AO298" t="str">
        <f t="shared" si="43"/>
        <v>Off</v>
      </c>
      <c r="AP298" t="str">
        <f t="shared" si="43"/>
        <v>Off</v>
      </c>
      <c r="AQ298" t="str">
        <f t="shared" si="43"/>
        <v>Off</v>
      </c>
      <c r="AR298" t="str">
        <f t="shared" si="43"/>
        <v>Off</v>
      </c>
      <c r="AS298" t="str">
        <f t="shared" si="43"/>
        <v>Off</v>
      </c>
      <c r="AT298" t="str">
        <f t="shared" si="43"/>
        <v>Off</v>
      </c>
      <c r="AU298" t="str">
        <f t="shared" si="43"/>
        <v>Off</v>
      </c>
      <c r="AV298" t="str">
        <f t="shared" si="43"/>
        <v>Off</v>
      </c>
      <c r="AW298" t="str">
        <f t="shared" si="43"/>
        <v>Off</v>
      </c>
      <c r="AX298" t="str">
        <f t="shared" si="43"/>
        <v>Off</v>
      </c>
      <c r="AY298" t="str">
        <f t="shared" si="44"/>
        <v>Off</v>
      </c>
      <c r="AZ298" t="str">
        <f t="shared" si="44"/>
        <v>Off</v>
      </c>
      <c r="BA298" t="str">
        <f t="shared" si="44"/>
        <v>Off</v>
      </c>
      <c r="BB298" t="str">
        <f t="shared" si="44"/>
        <v>Off</v>
      </c>
      <c r="BC298" t="str">
        <f t="shared" si="44"/>
        <v>Off</v>
      </c>
      <c r="BD298" t="str">
        <f t="shared" si="44"/>
        <v>Off</v>
      </c>
      <c r="BE298" t="str">
        <f t="shared" si="44"/>
        <v>Off</v>
      </c>
      <c r="BF298" t="str">
        <f t="shared" si="44"/>
        <v>Off</v>
      </c>
      <c r="BG298" t="str">
        <f t="shared" si="44"/>
        <v>Off</v>
      </c>
      <c r="BH298" t="str">
        <f t="shared" si="44"/>
        <v>Off</v>
      </c>
      <c r="BI298" t="str">
        <f t="shared" si="45"/>
        <v>Off</v>
      </c>
      <c r="BJ298" t="str">
        <f t="shared" si="45"/>
        <v>Off</v>
      </c>
      <c r="BK298" t="str">
        <f t="shared" si="45"/>
        <v>Off</v>
      </c>
      <c r="BL298" t="str">
        <f t="shared" si="45"/>
        <v>Off</v>
      </c>
      <c r="BM298" t="str">
        <f t="shared" si="45"/>
        <v>Off</v>
      </c>
      <c r="BN298" t="str">
        <f t="shared" si="45"/>
        <v>Off</v>
      </c>
      <c r="BO298" t="str">
        <f t="shared" si="45"/>
        <v>Off</v>
      </c>
      <c r="BP298" t="str">
        <f t="shared" si="45"/>
        <v>Off</v>
      </c>
      <c r="BQ298" t="str">
        <f t="shared" si="45"/>
        <v>Off</v>
      </c>
      <c r="BR298" t="str">
        <f t="shared" si="45"/>
        <v>Off</v>
      </c>
      <c r="BS298" t="str">
        <f t="shared" si="46"/>
        <v>Off</v>
      </c>
      <c r="BT298" t="str">
        <f t="shared" si="46"/>
        <v>Off</v>
      </c>
      <c r="BU298" t="str">
        <f t="shared" si="46"/>
        <v>Off</v>
      </c>
      <c r="BV298" t="str">
        <f t="shared" si="46"/>
        <v>Off</v>
      </c>
      <c r="BW298" t="str">
        <f t="shared" si="46"/>
        <v>Off</v>
      </c>
      <c r="BX298" t="str">
        <f t="shared" si="46"/>
        <v>Off</v>
      </c>
      <c r="BY298" t="str">
        <f t="shared" si="46"/>
        <v>Off</v>
      </c>
      <c r="BZ298" t="str">
        <f t="shared" si="46"/>
        <v>Off</v>
      </c>
      <c r="CA298" t="str">
        <f t="shared" si="46"/>
        <v>Off</v>
      </c>
      <c r="CB298" t="str">
        <f t="shared" si="46"/>
        <v>Off</v>
      </c>
      <c r="CC298" t="str">
        <f t="shared" si="47"/>
        <v>Off</v>
      </c>
      <c r="CD298" t="str">
        <f t="shared" si="47"/>
        <v>Off</v>
      </c>
      <c r="CE298" t="str">
        <f t="shared" si="47"/>
        <v>Off</v>
      </c>
      <c r="CF298" t="str">
        <f t="shared" si="47"/>
        <v>Off</v>
      </c>
      <c r="CG298" t="str">
        <f t="shared" si="47"/>
        <v>Off</v>
      </c>
      <c r="CH298" t="str">
        <f t="shared" si="47"/>
        <v>Off</v>
      </c>
      <c r="CI298" t="str">
        <f t="shared" si="47"/>
        <v>Off</v>
      </c>
      <c r="CJ298" t="str">
        <f t="shared" si="47"/>
        <v>Off</v>
      </c>
      <c r="CK298" t="str">
        <f t="shared" si="47"/>
        <v>Off</v>
      </c>
      <c r="CL298" t="str">
        <f t="shared" si="47"/>
        <v>Off</v>
      </c>
      <c r="CM298" t="str">
        <f t="shared" si="48"/>
        <v>Off</v>
      </c>
      <c r="CN298" t="str">
        <f t="shared" si="48"/>
        <v>Off</v>
      </c>
      <c r="CO298" t="str">
        <f t="shared" si="48"/>
        <v>Off</v>
      </c>
      <c r="CP298" t="str">
        <f t="shared" si="48"/>
        <v>Off</v>
      </c>
      <c r="CQ298" t="str">
        <f t="shared" si="48"/>
        <v>Off</v>
      </c>
      <c r="CR298" t="str">
        <f t="shared" si="48"/>
        <v>Off</v>
      </c>
      <c r="CS298" t="str">
        <f t="shared" si="48"/>
        <v>Off</v>
      </c>
      <c r="CT298" t="str">
        <f t="shared" si="48"/>
        <v>Off</v>
      </c>
      <c r="CU298" t="str">
        <f t="shared" si="48"/>
        <v>Off</v>
      </c>
      <c r="CV298" t="str">
        <f t="shared" si="48"/>
        <v>Off</v>
      </c>
      <c r="CW298" t="str">
        <f t="shared" si="48"/>
        <v>Off</v>
      </c>
    </row>
    <row r="299" spans="1:101">
      <c r="A299">
        <v>9</v>
      </c>
      <c r="B299" t="str">
        <f t="shared" si="49"/>
        <v>On</v>
      </c>
      <c r="C299" t="str">
        <f t="shared" si="49"/>
        <v>On</v>
      </c>
      <c r="D299" t="str">
        <f t="shared" si="49"/>
        <v>On</v>
      </c>
      <c r="E299" t="str">
        <f t="shared" si="50"/>
        <v>Off</v>
      </c>
      <c r="F299" t="str">
        <f t="shared" si="51"/>
        <v>Off</v>
      </c>
      <c r="G299" t="str">
        <f t="shared" si="51"/>
        <v>Off</v>
      </c>
      <c r="H299" t="str">
        <f t="shared" si="51"/>
        <v>Off</v>
      </c>
      <c r="I299" t="str">
        <f t="shared" si="52"/>
        <v>Off</v>
      </c>
      <c r="J299" t="str">
        <f t="shared" si="53"/>
        <v>Off</v>
      </c>
      <c r="K299" t="str">
        <f t="shared" si="40"/>
        <v>Off</v>
      </c>
      <c r="L299" t="str">
        <f t="shared" si="40"/>
        <v>Off</v>
      </c>
      <c r="M299" t="str">
        <f t="shared" si="40"/>
        <v>Off</v>
      </c>
      <c r="N299" t="str">
        <f t="shared" si="40"/>
        <v>Off</v>
      </c>
      <c r="O299" t="str">
        <f t="shared" si="40"/>
        <v>Off</v>
      </c>
      <c r="P299" t="str">
        <f t="shared" si="40"/>
        <v>Off</v>
      </c>
      <c r="Q299" t="str">
        <f t="shared" si="40"/>
        <v>Off</v>
      </c>
      <c r="R299" t="str">
        <f t="shared" si="40"/>
        <v>Off</v>
      </c>
      <c r="S299" t="str">
        <f t="shared" si="40"/>
        <v>Off</v>
      </c>
      <c r="T299" t="str">
        <f t="shared" si="40"/>
        <v>Off</v>
      </c>
      <c r="U299" t="str">
        <f t="shared" si="41"/>
        <v>Off</v>
      </c>
      <c r="V299" t="str">
        <f t="shared" si="41"/>
        <v>Off</v>
      </c>
      <c r="W299" t="str">
        <f t="shared" si="41"/>
        <v>Off</v>
      </c>
      <c r="X299" t="str">
        <f t="shared" si="41"/>
        <v>Off</v>
      </c>
      <c r="Y299" t="str">
        <f t="shared" si="41"/>
        <v>Off</v>
      </c>
      <c r="Z299" t="str">
        <f t="shared" si="41"/>
        <v>Off</v>
      </c>
      <c r="AA299" t="str">
        <f t="shared" si="41"/>
        <v>Off</v>
      </c>
      <c r="AB299" t="str">
        <f t="shared" si="41"/>
        <v>Off</v>
      </c>
      <c r="AC299" t="str">
        <f t="shared" si="41"/>
        <v>Off</v>
      </c>
      <c r="AD299" t="str">
        <f t="shared" si="41"/>
        <v>Off</v>
      </c>
      <c r="AE299" t="str">
        <f t="shared" si="42"/>
        <v>Off</v>
      </c>
      <c r="AF299" t="str">
        <f t="shared" si="42"/>
        <v>Off</v>
      </c>
      <c r="AG299" t="str">
        <f t="shared" si="42"/>
        <v>Off</v>
      </c>
      <c r="AH299" t="str">
        <f t="shared" si="42"/>
        <v>Off</v>
      </c>
      <c r="AI299" t="str">
        <f t="shared" si="42"/>
        <v>Off</v>
      </c>
      <c r="AJ299" t="str">
        <f t="shared" si="42"/>
        <v>Off</v>
      </c>
      <c r="AK299" t="str">
        <f t="shared" si="42"/>
        <v>Off</v>
      </c>
      <c r="AL299" t="str">
        <f t="shared" si="42"/>
        <v>Off</v>
      </c>
      <c r="AM299" t="str">
        <f t="shared" si="42"/>
        <v>Off</v>
      </c>
      <c r="AN299" t="str">
        <f t="shared" si="42"/>
        <v>Off</v>
      </c>
      <c r="AO299" t="str">
        <f t="shared" si="43"/>
        <v>Off</v>
      </c>
      <c r="AP299" t="str">
        <f t="shared" si="43"/>
        <v>Off</v>
      </c>
      <c r="AQ299" t="str">
        <f t="shared" si="43"/>
        <v>Off</v>
      </c>
      <c r="AR299" t="str">
        <f t="shared" si="43"/>
        <v>Off</v>
      </c>
      <c r="AS299" t="str">
        <f t="shared" si="43"/>
        <v>Off</v>
      </c>
      <c r="AT299" t="str">
        <f t="shared" si="43"/>
        <v>Off</v>
      </c>
      <c r="AU299" t="str">
        <f t="shared" si="43"/>
        <v>Off</v>
      </c>
      <c r="AV299" t="str">
        <f t="shared" si="43"/>
        <v>Off</v>
      </c>
      <c r="AW299" t="str">
        <f t="shared" si="43"/>
        <v>Off</v>
      </c>
      <c r="AX299" t="str">
        <f t="shared" si="43"/>
        <v>Off</v>
      </c>
      <c r="AY299" t="str">
        <f t="shared" si="44"/>
        <v>Off</v>
      </c>
      <c r="AZ299" t="str">
        <f t="shared" si="44"/>
        <v>Off</v>
      </c>
      <c r="BA299" t="str">
        <f t="shared" si="44"/>
        <v>Off</v>
      </c>
      <c r="BB299" t="str">
        <f t="shared" si="44"/>
        <v>Off</v>
      </c>
      <c r="BC299" t="str">
        <f t="shared" si="44"/>
        <v>Off</v>
      </c>
      <c r="BD299" t="str">
        <f t="shared" si="44"/>
        <v>Off</v>
      </c>
      <c r="BE299" t="str">
        <f t="shared" si="44"/>
        <v>Off</v>
      </c>
      <c r="BF299" t="str">
        <f t="shared" si="44"/>
        <v>Off</v>
      </c>
      <c r="BG299" t="str">
        <f t="shared" si="44"/>
        <v>Off</v>
      </c>
      <c r="BH299" t="str">
        <f t="shared" si="44"/>
        <v>Off</v>
      </c>
      <c r="BI299" t="str">
        <f t="shared" si="45"/>
        <v>Off</v>
      </c>
      <c r="BJ299" t="str">
        <f t="shared" si="45"/>
        <v>Off</v>
      </c>
      <c r="BK299" t="str">
        <f t="shared" si="45"/>
        <v>Off</v>
      </c>
      <c r="BL299" t="str">
        <f t="shared" si="45"/>
        <v>Off</v>
      </c>
      <c r="BM299" t="str">
        <f t="shared" si="45"/>
        <v>Off</v>
      </c>
      <c r="BN299" t="str">
        <f t="shared" si="45"/>
        <v>Off</v>
      </c>
      <c r="BO299" t="str">
        <f t="shared" si="45"/>
        <v>Off</v>
      </c>
      <c r="BP299" t="str">
        <f t="shared" si="45"/>
        <v>Off</v>
      </c>
      <c r="BQ299" t="str">
        <f t="shared" si="45"/>
        <v>Off</v>
      </c>
      <c r="BR299" t="str">
        <f t="shared" si="45"/>
        <v>Off</v>
      </c>
      <c r="BS299" t="str">
        <f t="shared" si="46"/>
        <v>Off</v>
      </c>
      <c r="BT299" t="str">
        <f t="shared" si="46"/>
        <v>Off</v>
      </c>
      <c r="BU299" t="str">
        <f t="shared" si="46"/>
        <v>Off</v>
      </c>
      <c r="BV299" t="str">
        <f t="shared" si="46"/>
        <v>Off</v>
      </c>
      <c r="BW299" t="str">
        <f t="shared" si="46"/>
        <v>Off</v>
      </c>
      <c r="BX299" t="str">
        <f t="shared" si="46"/>
        <v>Off</v>
      </c>
      <c r="BY299" t="str">
        <f t="shared" si="46"/>
        <v>Off</v>
      </c>
      <c r="BZ299" t="str">
        <f t="shared" si="46"/>
        <v>Off</v>
      </c>
      <c r="CA299" t="str">
        <f t="shared" si="46"/>
        <v>Off</v>
      </c>
      <c r="CB299" t="str">
        <f t="shared" si="46"/>
        <v>Off</v>
      </c>
      <c r="CC299" t="str">
        <f t="shared" si="47"/>
        <v>Off</v>
      </c>
      <c r="CD299" t="str">
        <f t="shared" si="47"/>
        <v>Off</v>
      </c>
      <c r="CE299" t="str">
        <f t="shared" si="47"/>
        <v>Off</v>
      </c>
      <c r="CF299" t="str">
        <f t="shared" si="47"/>
        <v>Off</v>
      </c>
      <c r="CG299" t="str">
        <f t="shared" si="47"/>
        <v>Off</v>
      </c>
      <c r="CH299" t="str">
        <f t="shared" si="47"/>
        <v>Off</v>
      </c>
      <c r="CI299" t="str">
        <f t="shared" si="47"/>
        <v>Off</v>
      </c>
      <c r="CJ299" t="str">
        <f t="shared" si="47"/>
        <v>Off</v>
      </c>
      <c r="CK299" t="str">
        <f t="shared" si="47"/>
        <v>Off</v>
      </c>
      <c r="CL299" t="str">
        <f t="shared" si="47"/>
        <v>Off</v>
      </c>
      <c r="CM299" t="str">
        <f t="shared" si="48"/>
        <v>Off</v>
      </c>
      <c r="CN299" t="str">
        <f t="shared" si="48"/>
        <v>Off</v>
      </c>
      <c r="CO299" t="str">
        <f t="shared" si="48"/>
        <v>Off</v>
      </c>
      <c r="CP299" t="str">
        <f t="shared" si="48"/>
        <v>Off</v>
      </c>
      <c r="CQ299" t="str">
        <f t="shared" si="48"/>
        <v>Off</v>
      </c>
      <c r="CR299" t="str">
        <f t="shared" si="48"/>
        <v>Off</v>
      </c>
      <c r="CS299" t="str">
        <f t="shared" si="48"/>
        <v>Off</v>
      </c>
      <c r="CT299" t="str">
        <f t="shared" si="48"/>
        <v>Off</v>
      </c>
      <c r="CU299" t="str">
        <f t="shared" si="48"/>
        <v>Off</v>
      </c>
      <c r="CV299" t="str">
        <f t="shared" si="48"/>
        <v>Off</v>
      </c>
      <c r="CW299" t="str">
        <f t="shared" si="48"/>
        <v>Off</v>
      </c>
    </row>
    <row r="300" spans="1:101">
      <c r="A300">
        <v>10</v>
      </c>
      <c r="B300" t="str">
        <f t="shared" si="49"/>
        <v>On</v>
      </c>
      <c r="C300" t="str">
        <f t="shared" si="49"/>
        <v>On</v>
      </c>
      <c r="D300" t="str">
        <f t="shared" si="49"/>
        <v>On</v>
      </c>
      <c r="E300" t="str">
        <f t="shared" si="50"/>
        <v>Off</v>
      </c>
      <c r="F300" t="str">
        <f t="shared" si="51"/>
        <v>Off</v>
      </c>
      <c r="G300" t="str">
        <f t="shared" si="51"/>
        <v>Off</v>
      </c>
      <c r="H300" t="str">
        <f t="shared" si="51"/>
        <v>Off</v>
      </c>
      <c r="I300" t="str">
        <f t="shared" si="52"/>
        <v>Off</v>
      </c>
      <c r="J300" t="str">
        <f t="shared" si="53"/>
        <v>Off</v>
      </c>
      <c r="K300" t="str">
        <f t="shared" si="40"/>
        <v>Off</v>
      </c>
      <c r="L300" t="str">
        <f t="shared" si="40"/>
        <v>Off</v>
      </c>
      <c r="M300" t="str">
        <f t="shared" si="40"/>
        <v>Off</v>
      </c>
      <c r="N300" t="str">
        <f t="shared" si="40"/>
        <v>Off</v>
      </c>
      <c r="O300" t="str">
        <f t="shared" si="40"/>
        <v>Off</v>
      </c>
      <c r="P300" t="str">
        <f t="shared" si="40"/>
        <v>Off</v>
      </c>
      <c r="Q300" t="str">
        <f t="shared" si="40"/>
        <v>Off</v>
      </c>
      <c r="R300" t="str">
        <f t="shared" si="40"/>
        <v>Off</v>
      </c>
      <c r="S300" t="str">
        <f t="shared" si="40"/>
        <v>Off</v>
      </c>
      <c r="T300" t="str">
        <f t="shared" si="40"/>
        <v>Off</v>
      </c>
      <c r="U300" t="str">
        <f t="shared" si="41"/>
        <v>Off</v>
      </c>
      <c r="V300" t="str">
        <f t="shared" si="41"/>
        <v>Off</v>
      </c>
      <c r="W300" t="str">
        <f t="shared" si="41"/>
        <v>Off</v>
      </c>
      <c r="X300" t="str">
        <f t="shared" si="41"/>
        <v>Off</v>
      </c>
      <c r="Y300" t="str">
        <f t="shared" si="41"/>
        <v>Off</v>
      </c>
      <c r="Z300" t="str">
        <f t="shared" si="41"/>
        <v>Off</v>
      </c>
      <c r="AA300" t="str">
        <f t="shared" si="41"/>
        <v>Off</v>
      </c>
      <c r="AB300" t="str">
        <f t="shared" si="41"/>
        <v>Off</v>
      </c>
      <c r="AC300" t="str">
        <f t="shared" si="41"/>
        <v>Off</v>
      </c>
      <c r="AD300" t="str">
        <f t="shared" si="41"/>
        <v>Off</v>
      </c>
      <c r="AE300" t="str">
        <f t="shared" si="42"/>
        <v>Off</v>
      </c>
      <c r="AF300" t="str">
        <f t="shared" si="42"/>
        <v>Off</v>
      </c>
      <c r="AG300" t="str">
        <f t="shared" si="42"/>
        <v>Off</v>
      </c>
      <c r="AH300" t="str">
        <f t="shared" si="42"/>
        <v>Off</v>
      </c>
      <c r="AI300" t="str">
        <f t="shared" si="42"/>
        <v>Off</v>
      </c>
      <c r="AJ300" t="str">
        <f t="shared" si="42"/>
        <v>Off</v>
      </c>
      <c r="AK300" t="str">
        <f t="shared" si="42"/>
        <v>Off</v>
      </c>
      <c r="AL300" t="str">
        <f t="shared" si="42"/>
        <v>Off</v>
      </c>
      <c r="AM300" t="str">
        <f t="shared" si="42"/>
        <v>Off</v>
      </c>
      <c r="AN300" t="str">
        <f t="shared" si="42"/>
        <v>Off</v>
      </c>
      <c r="AO300" t="str">
        <f t="shared" si="43"/>
        <v>Off</v>
      </c>
      <c r="AP300" t="str">
        <f t="shared" si="43"/>
        <v>Off</v>
      </c>
      <c r="AQ300" t="str">
        <f t="shared" si="43"/>
        <v>Off</v>
      </c>
      <c r="AR300" t="str">
        <f t="shared" si="43"/>
        <v>Off</v>
      </c>
      <c r="AS300" t="str">
        <f t="shared" si="43"/>
        <v>Off</v>
      </c>
      <c r="AT300" t="str">
        <f t="shared" si="43"/>
        <v>Off</v>
      </c>
      <c r="AU300" t="str">
        <f t="shared" si="43"/>
        <v>Off</v>
      </c>
      <c r="AV300" t="str">
        <f t="shared" si="43"/>
        <v>Off</v>
      </c>
      <c r="AW300" t="str">
        <f t="shared" si="43"/>
        <v>Off</v>
      </c>
      <c r="AX300" t="str">
        <f t="shared" si="43"/>
        <v>Off</v>
      </c>
      <c r="AY300" t="str">
        <f t="shared" si="44"/>
        <v>Off</v>
      </c>
      <c r="AZ300" t="str">
        <f t="shared" si="44"/>
        <v>Off</v>
      </c>
      <c r="BA300" t="str">
        <f t="shared" si="44"/>
        <v>Off</v>
      </c>
      <c r="BB300" t="str">
        <f t="shared" si="44"/>
        <v>Off</v>
      </c>
      <c r="BC300" t="str">
        <f t="shared" si="44"/>
        <v>Off</v>
      </c>
      <c r="BD300" t="str">
        <f t="shared" si="44"/>
        <v>Off</v>
      </c>
      <c r="BE300" t="str">
        <f t="shared" si="44"/>
        <v>Off</v>
      </c>
      <c r="BF300" t="str">
        <f t="shared" si="44"/>
        <v>Off</v>
      </c>
      <c r="BG300" t="str">
        <f t="shared" si="44"/>
        <v>Off</v>
      </c>
      <c r="BH300" t="str">
        <f t="shared" si="44"/>
        <v>Off</v>
      </c>
      <c r="BI300" t="str">
        <f t="shared" si="45"/>
        <v>Off</v>
      </c>
      <c r="BJ300" t="str">
        <f t="shared" si="45"/>
        <v>Off</v>
      </c>
      <c r="BK300" t="str">
        <f t="shared" si="45"/>
        <v>Off</v>
      </c>
      <c r="BL300" t="str">
        <f t="shared" si="45"/>
        <v>Off</v>
      </c>
      <c r="BM300" t="str">
        <f t="shared" si="45"/>
        <v>Off</v>
      </c>
      <c r="BN300" t="str">
        <f t="shared" si="45"/>
        <v>Off</v>
      </c>
      <c r="BO300" t="str">
        <f t="shared" si="45"/>
        <v>Off</v>
      </c>
      <c r="BP300" t="str">
        <f t="shared" si="45"/>
        <v>Off</v>
      </c>
      <c r="BQ300" t="str">
        <f t="shared" si="45"/>
        <v>Off</v>
      </c>
      <c r="BR300" t="str">
        <f t="shared" si="45"/>
        <v>Off</v>
      </c>
      <c r="BS300" t="str">
        <f t="shared" si="46"/>
        <v>Off</v>
      </c>
      <c r="BT300" t="str">
        <f t="shared" si="46"/>
        <v>Off</v>
      </c>
      <c r="BU300" t="str">
        <f t="shared" si="46"/>
        <v>Off</v>
      </c>
      <c r="BV300" t="str">
        <f t="shared" si="46"/>
        <v>Off</v>
      </c>
      <c r="BW300" t="str">
        <f t="shared" si="46"/>
        <v>Off</v>
      </c>
      <c r="BX300" t="str">
        <f t="shared" si="46"/>
        <v>Off</v>
      </c>
      <c r="BY300" t="str">
        <f t="shared" si="46"/>
        <v>Off</v>
      </c>
      <c r="BZ300" t="str">
        <f t="shared" si="46"/>
        <v>Off</v>
      </c>
      <c r="CA300" t="str">
        <f t="shared" si="46"/>
        <v>Off</v>
      </c>
      <c r="CB300" t="str">
        <f t="shared" si="46"/>
        <v>Off</v>
      </c>
      <c r="CC300" t="str">
        <f t="shared" si="47"/>
        <v>Off</v>
      </c>
      <c r="CD300" t="str">
        <f t="shared" si="47"/>
        <v>Off</v>
      </c>
      <c r="CE300" t="str">
        <f t="shared" si="47"/>
        <v>Off</v>
      </c>
      <c r="CF300" t="str">
        <f t="shared" si="47"/>
        <v>Off</v>
      </c>
      <c r="CG300" t="str">
        <f t="shared" si="47"/>
        <v>Off</v>
      </c>
      <c r="CH300" t="str">
        <f t="shared" si="47"/>
        <v>Off</v>
      </c>
      <c r="CI300" t="str">
        <f t="shared" si="47"/>
        <v>Off</v>
      </c>
      <c r="CJ300" t="str">
        <f t="shared" si="47"/>
        <v>Off</v>
      </c>
      <c r="CK300" t="str">
        <f t="shared" si="47"/>
        <v>Off</v>
      </c>
      <c r="CL300" t="str">
        <f t="shared" si="47"/>
        <v>Off</v>
      </c>
      <c r="CM300" t="str">
        <f t="shared" si="48"/>
        <v>Off</v>
      </c>
      <c r="CN300" t="str">
        <f t="shared" si="48"/>
        <v>Off</v>
      </c>
      <c r="CO300" t="str">
        <f t="shared" si="48"/>
        <v>Off</v>
      </c>
      <c r="CP300" t="str">
        <f t="shared" si="48"/>
        <v>Off</v>
      </c>
      <c r="CQ300" t="str">
        <f t="shared" si="48"/>
        <v>Off</v>
      </c>
      <c r="CR300" t="str">
        <f t="shared" si="48"/>
        <v>Off</v>
      </c>
      <c r="CS300" t="str">
        <f t="shared" si="48"/>
        <v>Off</v>
      </c>
      <c r="CT300" t="str">
        <f t="shared" si="48"/>
        <v>Off</v>
      </c>
      <c r="CU300" t="str">
        <f t="shared" si="48"/>
        <v>Off</v>
      </c>
      <c r="CV300" t="str">
        <f t="shared" si="48"/>
        <v>Off</v>
      </c>
      <c r="CW300" t="str">
        <f t="shared" si="48"/>
        <v>Off</v>
      </c>
    </row>
    <row r="301" spans="1:101">
      <c r="A301">
        <v>11</v>
      </c>
      <c r="B301" t="str">
        <f t="shared" si="49"/>
        <v>On</v>
      </c>
      <c r="C301" t="str">
        <f t="shared" si="49"/>
        <v>On</v>
      </c>
      <c r="D301" t="str">
        <f t="shared" si="49"/>
        <v>On</v>
      </c>
      <c r="E301" t="str">
        <f t="shared" si="50"/>
        <v>Off</v>
      </c>
      <c r="F301" t="str">
        <f t="shared" si="51"/>
        <v>Off</v>
      </c>
      <c r="G301" t="str">
        <f t="shared" si="51"/>
        <v>Off</v>
      </c>
      <c r="H301" t="str">
        <f t="shared" si="51"/>
        <v>Off</v>
      </c>
      <c r="I301" t="str">
        <f t="shared" si="52"/>
        <v>Off</v>
      </c>
      <c r="J301" t="str">
        <f t="shared" si="53"/>
        <v>Off</v>
      </c>
      <c r="K301" t="str">
        <f t="shared" si="40"/>
        <v>Off</v>
      </c>
      <c r="L301" t="str">
        <f t="shared" si="40"/>
        <v>Off</v>
      </c>
      <c r="M301" t="str">
        <f t="shared" si="40"/>
        <v>Off</v>
      </c>
      <c r="N301" t="str">
        <f t="shared" si="40"/>
        <v>Off</v>
      </c>
      <c r="O301" t="str">
        <f t="shared" si="40"/>
        <v>Off</v>
      </c>
      <c r="P301" t="str">
        <f t="shared" si="40"/>
        <v>Off</v>
      </c>
      <c r="Q301" t="str">
        <f t="shared" si="40"/>
        <v>Off</v>
      </c>
      <c r="R301" t="str">
        <f t="shared" si="40"/>
        <v>Off</v>
      </c>
      <c r="S301" t="str">
        <f t="shared" si="40"/>
        <v>Off</v>
      </c>
      <c r="T301" t="str">
        <f t="shared" si="40"/>
        <v>Off</v>
      </c>
      <c r="U301" t="str">
        <f t="shared" si="41"/>
        <v>Off</v>
      </c>
      <c r="V301" t="str">
        <f t="shared" si="41"/>
        <v>Off</v>
      </c>
      <c r="W301" t="str">
        <f t="shared" si="41"/>
        <v>Off</v>
      </c>
      <c r="X301" t="str">
        <f t="shared" si="41"/>
        <v>Off</v>
      </c>
      <c r="Y301" t="str">
        <f t="shared" si="41"/>
        <v>Off</v>
      </c>
      <c r="Z301" t="str">
        <f t="shared" si="41"/>
        <v>Off</v>
      </c>
      <c r="AA301" t="str">
        <f t="shared" si="41"/>
        <v>Off</v>
      </c>
      <c r="AB301" t="str">
        <f t="shared" si="41"/>
        <v>Off</v>
      </c>
      <c r="AC301" t="str">
        <f t="shared" si="41"/>
        <v>Off</v>
      </c>
      <c r="AD301" t="str">
        <f t="shared" si="41"/>
        <v>Off</v>
      </c>
      <c r="AE301" t="str">
        <f t="shared" si="42"/>
        <v>Off</v>
      </c>
      <c r="AF301" t="str">
        <f t="shared" si="42"/>
        <v>Off</v>
      </c>
      <c r="AG301" t="str">
        <f t="shared" si="42"/>
        <v>Off</v>
      </c>
      <c r="AH301" t="str">
        <f t="shared" si="42"/>
        <v>Off</v>
      </c>
      <c r="AI301" t="str">
        <f t="shared" si="42"/>
        <v>Off</v>
      </c>
      <c r="AJ301" t="str">
        <f t="shared" si="42"/>
        <v>Off</v>
      </c>
      <c r="AK301" t="str">
        <f t="shared" si="42"/>
        <v>Off</v>
      </c>
      <c r="AL301" t="str">
        <f t="shared" si="42"/>
        <v>Off</v>
      </c>
      <c r="AM301" t="str">
        <f t="shared" si="42"/>
        <v>Off</v>
      </c>
      <c r="AN301" t="str">
        <f t="shared" si="42"/>
        <v>Off</v>
      </c>
      <c r="AO301" t="str">
        <f t="shared" si="43"/>
        <v>Off</v>
      </c>
      <c r="AP301" t="str">
        <f t="shared" si="43"/>
        <v>Off</v>
      </c>
      <c r="AQ301" t="str">
        <f t="shared" si="43"/>
        <v>Off</v>
      </c>
      <c r="AR301" t="str">
        <f t="shared" si="43"/>
        <v>Off</v>
      </c>
      <c r="AS301" t="str">
        <f t="shared" si="43"/>
        <v>Off</v>
      </c>
      <c r="AT301" t="str">
        <f t="shared" si="43"/>
        <v>Off</v>
      </c>
      <c r="AU301" t="str">
        <f t="shared" si="43"/>
        <v>Off</v>
      </c>
      <c r="AV301" t="str">
        <f t="shared" si="43"/>
        <v>Off</v>
      </c>
      <c r="AW301" t="str">
        <f t="shared" si="43"/>
        <v>Off</v>
      </c>
      <c r="AX301" t="str">
        <f t="shared" si="43"/>
        <v>Off</v>
      </c>
      <c r="AY301" t="str">
        <f t="shared" si="44"/>
        <v>Off</v>
      </c>
      <c r="AZ301" t="str">
        <f t="shared" si="44"/>
        <v>Off</v>
      </c>
      <c r="BA301" t="str">
        <f t="shared" si="44"/>
        <v>Off</v>
      </c>
      <c r="BB301" t="str">
        <f t="shared" si="44"/>
        <v>Off</v>
      </c>
      <c r="BC301" t="str">
        <f t="shared" si="44"/>
        <v>Off</v>
      </c>
      <c r="BD301" t="str">
        <f t="shared" si="44"/>
        <v>Off</v>
      </c>
      <c r="BE301" t="str">
        <f t="shared" si="44"/>
        <v>Off</v>
      </c>
      <c r="BF301" t="str">
        <f t="shared" si="44"/>
        <v>Off</v>
      </c>
      <c r="BG301" t="str">
        <f t="shared" si="44"/>
        <v>Off</v>
      </c>
      <c r="BH301" t="str">
        <f t="shared" si="44"/>
        <v>Off</v>
      </c>
      <c r="BI301" t="str">
        <f t="shared" si="45"/>
        <v>Off</v>
      </c>
      <c r="BJ301" t="str">
        <f t="shared" si="45"/>
        <v>Off</v>
      </c>
      <c r="BK301" t="str">
        <f t="shared" si="45"/>
        <v>Off</v>
      </c>
      <c r="BL301" t="str">
        <f t="shared" si="45"/>
        <v>Off</v>
      </c>
      <c r="BM301" t="str">
        <f t="shared" si="45"/>
        <v>Off</v>
      </c>
      <c r="BN301" t="str">
        <f t="shared" si="45"/>
        <v>Off</v>
      </c>
      <c r="BO301" t="str">
        <f t="shared" si="45"/>
        <v>Off</v>
      </c>
      <c r="BP301" t="str">
        <f t="shared" si="45"/>
        <v>Off</v>
      </c>
      <c r="BQ301" t="str">
        <f t="shared" si="45"/>
        <v>Off</v>
      </c>
      <c r="BR301" t="str">
        <f t="shared" si="45"/>
        <v>Off</v>
      </c>
      <c r="BS301" t="str">
        <f t="shared" si="46"/>
        <v>Off</v>
      </c>
      <c r="BT301" t="str">
        <f t="shared" si="46"/>
        <v>Off</v>
      </c>
      <c r="BU301" t="str">
        <f t="shared" si="46"/>
        <v>Off</v>
      </c>
      <c r="BV301" t="str">
        <f t="shared" si="46"/>
        <v>Off</v>
      </c>
      <c r="BW301" t="str">
        <f t="shared" si="46"/>
        <v>Off</v>
      </c>
      <c r="BX301" t="str">
        <f t="shared" si="46"/>
        <v>Off</v>
      </c>
      <c r="BY301" t="str">
        <f t="shared" si="46"/>
        <v>Off</v>
      </c>
      <c r="BZ301" t="str">
        <f t="shared" si="46"/>
        <v>Off</v>
      </c>
      <c r="CA301" t="str">
        <f t="shared" si="46"/>
        <v>Off</v>
      </c>
      <c r="CB301" t="str">
        <f t="shared" si="46"/>
        <v>Off</v>
      </c>
      <c r="CC301" t="str">
        <f t="shared" si="47"/>
        <v>Off</v>
      </c>
      <c r="CD301" t="str">
        <f t="shared" si="47"/>
        <v>Off</v>
      </c>
      <c r="CE301" t="str">
        <f t="shared" si="47"/>
        <v>Off</v>
      </c>
      <c r="CF301" t="str">
        <f t="shared" si="47"/>
        <v>Off</v>
      </c>
      <c r="CG301" t="str">
        <f t="shared" si="47"/>
        <v>Off</v>
      </c>
      <c r="CH301" t="str">
        <f t="shared" si="47"/>
        <v>Off</v>
      </c>
      <c r="CI301" t="str">
        <f t="shared" si="47"/>
        <v>Off</v>
      </c>
      <c r="CJ301" t="str">
        <f t="shared" si="47"/>
        <v>Off</v>
      </c>
      <c r="CK301" t="str">
        <f t="shared" si="47"/>
        <v>Off</v>
      </c>
      <c r="CL301" t="str">
        <f t="shared" si="47"/>
        <v>Off</v>
      </c>
      <c r="CM301" t="str">
        <f t="shared" si="48"/>
        <v>Off</v>
      </c>
      <c r="CN301" t="str">
        <f t="shared" si="48"/>
        <v>Off</v>
      </c>
      <c r="CO301" t="str">
        <f t="shared" si="48"/>
        <v>Off</v>
      </c>
      <c r="CP301" t="str">
        <f t="shared" si="48"/>
        <v>Off</v>
      </c>
      <c r="CQ301" t="str">
        <f t="shared" si="48"/>
        <v>Off</v>
      </c>
      <c r="CR301" t="str">
        <f t="shared" si="48"/>
        <v>Off</v>
      </c>
      <c r="CS301" t="str">
        <f t="shared" si="48"/>
        <v>Off</v>
      </c>
      <c r="CT301" t="str">
        <f t="shared" si="48"/>
        <v>Off</v>
      </c>
      <c r="CU301" t="str">
        <f t="shared" si="48"/>
        <v>Off</v>
      </c>
      <c r="CV301" t="str">
        <f t="shared" si="48"/>
        <v>Off</v>
      </c>
      <c r="CW301" t="str">
        <f t="shared" si="48"/>
        <v>Off</v>
      </c>
    </row>
    <row r="302" spans="1:101">
      <c r="A302">
        <v>12</v>
      </c>
      <c r="B302" t="str">
        <f t="shared" si="49"/>
        <v>On</v>
      </c>
      <c r="C302" t="str">
        <f t="shared" si="49"/>
        <v>On</v>
      </c>
      <c r="D302" t="str">
        <f t="shared" si="49"/>
        <v>On</v>
      </c>
      <c r="E302" t="str">
        <f t="shared" si="50"/>
        <v>Off</v>
      </c>
      <c r="F302" t="str">
        <f t="shared" si="51"/>
        <v>Off</v>
      </c>
      <c r="G302" t="str">
        <f t="shared" si="51"/>
        <v>Off</v>
      </c>
      <c r="H302" t="str">
        <f t="shared" si="51"/>
        <v>Off</v>
      </c>
      <c r="I302" t="str">
        <f t="shared" si="52"/>
        <v>Off</v>
      </c>
      <c r="J302" t="str">
        <f t="shared" si="53"/>
        <v>Off</v>
      </c>
      <c r="K302" t="str">
        <f>"On"</f>
        <v>On</v>
      </c>
      <c r="L302" t="str">
        <f t="shared" ref="L302:U311" si="54">"Off"</f>
        <v>Off</v>
      </c>
      <c r="M302" t="str">
        <f t="shared" si="54"/>
        <v>Off</v>
      </c>
      <c r="N302" t="str">
        <f t="shared" si="54"/>
        <v>Off</v>
      </c>
      <c r="O302" t="str">
        <f t="shared" si="54"/>
        <v>Off</v>
      </c>
      <c r="P302" t="str">
        <f t="shared" si="54"/>
        <v>Off</v>
      </c>
      <c r="Q302" t="str">
        <f t="shared" si="54"/>
        <v>Off</v>
      </c>
      <c r="R302" t="str">
        <f t="shared" si="54"/>
        <v>Off</v>
      </c>
      <c r="S302" t="str">
        <f t="shared" si="54"/>
        <v>Off</v>
      </c>
      <c r="T302" t="str">
        <f t="shared" si="54"/>
        <v>Off</v>
      </c>
      <c r="U302" t="str">
        <f t="shared" si="54"/>
        <v>Off</v>
      </c>
      <c r="V302" t="str">
        <f t="shared" ref="V302:AE311" si="55">"Off"</f>
        <v>Off</v>
      </c>
      <c r="W302" t="str">
        <f t="shared" si="55"/>
        <v>Off</v>
      </c>
      <c r="X302" t="str">
        <f t="shared" si="55"/>
        <v>Off</v>
      </c>
      <c r="Y302" t="str">
        <f t="shared" si="55"/>
        <v>Off</v>
      </c>
      <c r="Z302" t="str">
        <f t="shared" si="55"/>
        <v>Off</v>
      </c>
      <c r="AA302" t="str">
        <f t="shared" si="55"/>
        <v>Off</v>
      </c>
      <c r="AB302" t="str">
        <f t="shared" si="55"/>
        <v>Off</v>
      </c>
      <c r="AC302" t="str">
        <f t="shared" si="55"/>
        <v>Off</v>
      </c>
      <c r="AD302" t="str">
        <f t="shared" si="55"/>
        <v>Off</v>
      </c>
      <c r="AE302" t="str">
        <f t="shared" si="55"/>
        <v>Off</v>
      </c>
      <c r="AF302" t="str">
        <f t="shared" ref="AF302:AO311" si="56">"Off"</f>
        <v>Off</v>
      </c>
      <c r="AG302" t="str">
        <f t="shared" si="56"/>
        <v>Off</v>
      </c>
      <c r="AH302" t="str">
        <f t="shared" si="56"/>
        <v>Off</v>
      </c>
      <c r="AI302" t="str">
        <f t="shared" si="56"/>
        <v>Off</v>
      </c>
      <c r="AJ302" t="str">
        <f t="shared" si="56"/>
        <v>Off</v>
      </c>
      <c r="AK302" t="str">
        <f t="shared" si="56"/>
        <v>Off</v>
      </c>
      <c r="AL302" t="str">
        <f t="shared" si="56"/>
        <v>Off</v>
      </c>
      <c r="AM302" t="str">
        <f t="shared" si="56"/>
        <v>Off</v>
      </c>
      <c r="AN302" t="str">
        <f t="shared" si="56"/>
        <v>Off</v>
      </c>
      <c r="AO302" t="str">
        <f t="shared" si="56"/>
        <v>Off</v>
      </c>
      <c r="AP302" t="str">
        <f t="shared" ref="AP302:AY311" si="57">"Off"</f>
        <v>Off</v>
      </c>
      <c r="AQ302" t="str">
        <f t="shared" si="57"/>
        <v>Off</v>
      </c>
      <c r="AR302" t="str">
        <f t="shared" si="57"/>
        <v>Off</v>
      </c>
      <c r="AS302" t="str">
        <f t="shared" si="57"/>
        <v>Off</v>
      </c>
      <c r="AT302" t="str">
        <f t="shared" si="57"/>
        <v>Off</v>
      </c>
      <c r="AU302" t="str">
        <f t="shared" si="57"/>
        <v>Off</v>
      </c>
      <c r="AV302" t="str">
        <f t="shared" si="57"/>
        <v>Off</v>
      </c>
      <c r="AW302" t="str">
        <f t="shared" si="57"/>
        <v>Off</v>
      </c>
      <c r="AX302" t="str">
        <f t="shared" si="57"/>
        <v>Off</v>
      </c>
      <c r="AY302" t="str">
        <f t="shared" si="57"/>
        <v>Off</v>
      </c>
      <c r="AZ302" t="str">
        <f t="shared" ref="AZ302:BI311" si="58">"Off"</f>
        <v>Off</v>
      </c>
      <c r="BA302" t="str">
        <f t="shared" si="58"/>
        <v>Off</v>
      </c>
      <c r="BB302" t="str">
        <f t="shared" si="58"/>
        <v>Off</v>
      </c>
      <c r="BC302" t="str">
        <f t="shared" si="58"/>
        <v>Off</v>
      </c>
      <c r="BD302" t="str">
        <f t="shared" si="58"/>
        <v>Off</v>
      </c>
      <c r="BE302" t="str">
        <f t="shared" si="58"/>
        <v>Off</v>
      </c>
      <c r="BF302" t="str">
        <f t="shared" si="58"/>
        <v>Off</v>
      </c>
      <c r="BG302" t="str">
        <f t="shared" si="58"/>
        <v>Off</v>
      </c>
      <c r="BH302" t="str">
        <f t="shared" si="58"/>
        <v>Off</v>
      </c>
      <c r="BI302" t="str">
        <f t="shared" si="58"/>
        <v>Off</v>
      </c>
      <c r="BJ302" t="str">
        <f t="shared" ref="BJ302:BS311" si="59">"Off"</f>
        <v>Off</v>
      </c>
      <c r="BK302" t="str">
        <f t="shared" si="59"/>
        <v>Off</v>
      </c>
      <c r="BL302" t="str">
        <f t="shared" si="59"/>
        <v>Off</v>
      </c>
      <c r="BM302" t="str">
        <f t="shared" si="59"/>
        <v>Off</v>
      </c>
      <c r="BN302" t="str">
        <f t="shared" si="59"/>
        <v>Off</v>
      </c>
      <c r="BO302" t="str">
        <f t="shared" si="59"/>
        <v>Off</v>
      </c>
      <c r="BP302" t="str">
        <f t="shared" si="59"/>
        <v>Off</v>
      </c>
      <c r="BQ302" t="str">
        <f t="shared" si="59"/>
        <v>Off</v>
      </c>
      <c r="BR302" t="str">
        <f t="shared" si="59"/>
        <v>Off</v>
      </c>
      <c r="BS302" t="str">
        <f t="shared" si="59"/>
        <v>Off</v>
      </c>
      <c r="BT302" t="str">
        <f t="shared" ref="BT302:CC311" si="60">"Off"</f>
        <v>Off</v>
      </c>
      <c r="BU302" t="str">
        <f t="shared" si="60"/>
        <v>Off</v>
      </c>
      <c r="BV302" t="str">
        <f t="shared" si="60"/>
        <v>Off</v>
      </c>
      <c r="BW302" t="str">
        <f t="shared" si="60"/>
        <v>Off</v>
      </c>
      <c r="BX302" t="str">
        <f t="shared" si="60"/>
        <v>Off</v>
      </c>
      <c r="BY302" t="str">
        <f t="shared" si="60"/>
        <v>Off</v>
      </c>
      <c r="BZ302" t="str">
        <f t="shared" si="60"/>
        <v>Off</v>
      </c>
      <c r="CA302" t="str">
        <f t="shared" si="60"/>
        <v>Off</v>
      </c>
      <c r="CB302" t="str">
        <f t="shared" si="60"/>
        <v>Off</v>
      </c>
      <c r="CC302" t="str">
        <f t="shared" si="60"/>
        <v>Off</v>
      </c>
      <c r="CD302" t="str">
        <f t="shared" ref="CD302:CM311" si="61">"Off"</f>
        <v>Off</v>
      </c>
      <c r="CE302" t="str">
        <f t="shared" si="61"/>
        <v>Off</v>
      </c>
      <c r="CF302" t="str">
        <f t="shared" si="61"/>
        <v>Off</v>
      </c>
      <c r="CG302" t="str">
        <f t="shared" si="61"/>
        <v>Off</v>
      </c>
      <c r="CH302" t="str">
        <f t="shared" si="61"/>
        <v>Off</v>
      </c>
      <c r="CI302" t="str">
        <f t="shared" si="61"/>
        <v>Off</v>
      </c>
      <c r="CJ302" t="str">
        <f t="shared" si="61"/>
        <v>Off</v>
      </c>
      <c r="CK302" t="str">
        <f t="shared" si="61"/>
        <v>Off</v>
      </c>
      <c r="CL302" t="str">
        <f t="shared" si="61"/>
        <v>Off</v>
      </c>
      <c r="CM302" t="str">
        <f t="shared" si="61"/>
        <v>Off</v>
      </c>
      <c r="CN302" t="str">
        <f t="shared" ref="CN302:CW311" si="62">"Off"</f>
        <v>Off</v>
      </c>
      <c r="CO302" t="str">
        <f t="shared" si="62"/>
        <v>Off</v>
      </c>
      <c r="CP302" t="str">
        <f t="shared" si="62"/>
        <v>Off</v>
      </c>
      <c r="CQ302" t="str">
        <f t="shared" si="62"/>
        <v>Off</v>
      </c>
      <c r="CR302" t="str">
        <f t="shared" si="62"/>
        <v>Off</v>
      </c>
      <c r="CS302" t="str">
        <f t="shared" si="62"/>
        <v>Off</v>
      </c>
      <c r="CT302" t="str">
        <f t="shared" si="62"/>
        <v>Off</v>
      </c>
      <c r="CU302" t="str">
        <f t="shared" si="62"/>
        <v>Off</v>
      </c>
      <c r="CV302" t="str">
        <f t="shared" si="62"/>
        <v>Off</v>
      </c>
      <c r="CW302" t="str">
        <f t="shared" si="62"/>
        <v>Off</v>
      </c>
    </row>
    <row r="303" spans="1:101">
      <c r="A303">
        <v>13</v>
      </c>
      <c r="B303" t="str">
        <f t="shared" si="49"/>
        <v>On</v>
      </c>
      <c r="C303" t="str">
        <f t="shared" si="49"/>
        <v>On</v>
      </c>
      <c r="D303" t="str">
        <f t="shared" si="49"/>
        <v>On</v>
      </c>
      <c r="E303" t="str">
        <f t="shared" si="50"/>
        <v>Off</v>
      </c>
      <c r="F303" t="str">
        <f t="shared" si="51"/>
        <v>Off</v>
      </c>
      <c r="G303" t="str">
        <f t="shared" si="51"/>
        <v>Off</v>
      </c>
      <c r="H303" t="str">
        <f t="shared" si="51"/>
        <v>Off</v>
      </c>
      <c r="I303" t="str">
        <f t="shared" si="52"/>
        <v>Off</v>
      </c>
      <c r="J303" t="str">
        <f t="shared" si="53"/>
        <v>Off</v>
      </c>
      <c r="K303" t="str">
        <f t="shared" ref="K303:K331" si="63">"Off"</f>
        <v>Off</v>
      </c>
      <c r="L303" t="str">
        <f t="shared" si="54"/>
        <v>Off</v>
      </c>
      <c r="M303" t="str">
        <f t="shared" si="54"/>
        <v>Off</v>
      </c>
      <c r="N303" t="str">
        <f t="shared" si="54"/>
        <v>Off</v>
      </c>
      <c r="O303" t="str">
        <f t="shared" si="54"/>
        <v>Off</v>
      </c>
      <c r="P303" t="str">
        <f t="shared" si="54"/>
        <v>Off</v>
      </c>
      <c r="Q303" t="str">
        <f t="shared" si="54"/>
        <v>Off</v>
      </c>
      <c r="R303" t="str">
        <f t="shared" si="54"/>
        <v>Off</v>
      </c>
      <c r="S303" t="str">
        <f t="shared" si="54"/>
        <v>Off</v>
      </c>
      <c r="T303" t="str">
        <f t="shared" si="54"/>
        <v>Off</v>
      </c>
      <c r="U303" t="str">
        <f t="shared" si="54"/>
        <v>Off</v>
      </c>
      <c r="V303" t="str">
        <f t="shared" si="55"/>
        <v>Off</v>
      </c>
      <c r="W303" t="str">
        <f t="shared" si="55"/>
        <v>Off</v>
      </c>
      <c r="X303" t="str">
        <f t="shared" si="55"/>
        <v>Off</v>
      </c>
      <c r="Y303" t="str">
        <f t="shared" si="55"/>
        <v>Off</v>
      </c>
      <c r="Z303" t="str">
        <f t="shared" si="55"/>
        <v>Off</v>
      </c>
      <c r="AA303" t="str">
        <f t="shared" si="55"/>
        <v>Off</v>
      </c>
      <c r="AB303" t="str">
        <f t="shared" si="55"/>
        <v>Off</v>
      </c>
      <c r="AC303" t="str">
        <f t="shared" si="55"/>
        <v>Off</v>
      </c>
      <c r="AD303" t="str">
        <f t="shared" si="55"/>
        <v>Off</v>
      </c>
      <c r="AE303" t="str">
        <f t="shared" si="55"/>
        <v>Off</v>
      </c>
      <c r="AF303" t="str">
        <f t="shared" si="56"/>
        <v>Off</v>
      </c>
      <c r="AG303" t="str">
        <f t="shared" si="56"/>
        <v>Off</v>
      </c>
      <c r="AH303" t="str">
        <f t="shared" si="56"/>
        <v>Off</v>
      </c>
      <c r="AI303" t="str">
        <f t="shared" si="56"/>
        <v>Off</v>
      </c>
      <c r="AJ303" t="str">
        <f t="shared" si="56"/>
        <v>Off</v>
      </c>
      <c r="AK303" t="str">
        <f t="shared" si="56"/>
        <v>Off</v>
      </c>
      <c r="AL303" t="str">
        <f t="shared" si="56"/>
        <v>Off</v>
      </c>
      <c r="AM303" t="str">
        <f t="shared" si="56"/>
        <v>Off</v>
      </c>
      <c r="AN303" t="str">
        <f t="shared" si="56"/>
        <v>Off</v>
      </c>
      <c r="AO303" t="str">
        <f t="shared" si="56"/>
        <v>Off</v>
      </c>
      <c r="AP303" t="str">
        <f t="shared" si="57"/>
        <v>Off</v>
      </c>
      <c r="AQ303" t="str">
        <f t="shared" si="57"/>
        <v>Off</v>
      </c>
      <c r="AR303" t="str">
        <f t="shared" si="57"/>
        <v>Off</v>
      </c>
      <c r="AS303" t="str">
        <f t="shared" si="57"/>
        <v>Off</v>
      </c>
      <c r="AT303" t="str">
        <f t="shared" si="57"/>
        <v>Off</v>
      </c>
      <c r="AU303" t="str">
        <f t="shared" si="57"/>
        <v>Off</v>
      </c>
      <c r="AV303" t="str">
        <f t="shared" si="57"/>
        <v>Off</v>
      </c>
      <c r="AW303" t="str">
        <f t="shared" si="57"/>
        <v>Off</v>
      </c>
      <c r="AX303" t="str">
        <f t="shared" si="57"/>
        <v>Off</v>
      </c>
      <c r="AY303" t="str">
        <f t="shared" si="57"/>
        <v>Off</v>
      </c>
      <c r="AZ303" t="str">
        <f t="shared" si="58"/>
        <v>Off</v>
      </c>
      <c r="BA303" t="str">
        <f t="shared" si="58"/>
        <v>Off</v>
      </c>
      <c r="BB303" t="str">
        <f t="shared" si="58"/>
        <v>Off</v>
      </c>
      <c r="BC303" t="str">
        <f t="shared" si="58"/>
        <v>Off</v>
      </c>
      <c r="BD303" t="str">
        <f t="shared" si="58"/>
        <v>Off</v>
      </c>
      <c r="BE303" t="str">
        <f t="shared" si="58"/>
        <v>Off</v>
      </c>
      <c r="BF303" t="str">
        <f t="shared" si="58"/>
        <v>Off</v>
      </c>
      <c r="BG303" t="str">
        <f t="shared" si="58"/>
        <v>Off</v>
      </c>
      <c r="BH303" t="str">
        <f t="shared" si="58"/>
        <v>Off</v>
      </c>
      <c r="BI303" t="str">
        <f t="shared" si="58"/>
        <v>Off</v>
      </c>
      <c r="BJ303" t="str">
        <f t="shared" si="59"/>
        <v>Off</v>
      </c>
      <c r="BK303" t="str">
        <f t="shared" si="59"/>
        <v>Off</v>
      </c>
      <c r="BL303" t="str">
        <f t="shared" si="59"/>
        <v>Off</v>
      </c>
      <c r="BM303" t="str">
        <f t="shared" si="59"/>
        <v>Off</v>
      </c>
      <c r="BN303" t="str">
        <f t="shared" si="59"/>
        <v>Off</v>
      </c>
      <c r="BO303" t="str">
        <f t="shared" si="59"/>
        <v>Off</v>
      </c>
      <c r="BP303" t="str">
        <f t="shared" si="59"/>
        <v>Off</v>
      </c>
      <c r="BQ303" t="str">
        <f t="shared" si="59"/>
        <v>Off</v>
      </c>
      <c r="BR303" t="str">
        <f t="shared" si="59"/>
        <v>Off</v>
      </c>
      <c r="BS303" t="str">
        <f t="shared" si="59"/>
        <v>Off</v>
      </c>
      <c r="BT303" t="str">
        <f t="shared" si="60"/>
        <v>Off</v>
      </c>
      <c r="BU303" t="str">
        <f t="shared" si="60"/>
        <v>Off</v>
      </c>
      <c r="BV303" t="str">
        <f t="shared" si="60"/>
        <v>Off</v>
      </c>
      <c r="BW303" t="str">
        <f t="shared" si="60"/>
        <v>Off</v>
      </c>
      <c r="BX303" t="str">
        <f t="shared" si="60"/>
        <v>Off</v>
      </c>
      <c r="BY303" t="str">
        <f t="shared" si="60"/>
        <v>Off</v>
      </c>
      <c r="BZ303" t="str">
        <f t="shared" si="60"/>
        <v>Off</v>
      </c>
      <c r="CA303" t="str">
        <f t="shared" si="60"/>
        <v>Off</v>
      </c>
      <c r="CB303" t="str">
        <f t="shared" si="60"/>
        <v>Off</v>
      </c>
      <c r="CC303" t="str">
        <f t="shared" si="60"/>
        <v>Off</v>
      </c>
      <c r="CD303" t="str">
        <f t="shared" si="61"/>
        <v>Off</v>
      </c>
      <c r="CE303" t="str">
        <f t="shared" si="61"/>
        <v>Off</v>
      </c>
      <c r="CF303" t="str">
        <f t="shared" si="61"/>
        <v>Off</v>
      </c>
      <c r="CG303" t="str">
        <f t="shared" si="61"/>
        <v>Off</v>
      </c>
      <c r="CH303" t="str">
        <f t="shared" si="61"/>
        <v>Off</v>
      </c>
      <c r="CI303" t="str">
        <f t="shared" si="61"/>
        <v>Off</v>
      </c>
      <c r="CJ303" t="str">
        <f t="shared" si="61"/>
        <v>Off</v>
      </c>
      <c r="CK303" t="str">
        <f t="shared" si="61"/>
        <v>Off</v>
      </c>
      <c r="CL303" t="str">
        <f t="shared" si="61"/>
        <v>Off</v>
      </c>
      <c r="CM303" t="str">
        <f t="shared" si="61"/>
        <v>Off</v>
      </c>
      <c r="CN303" t="str">
        <f t="shared" si="62"/>
        <v>Off</v>
      </c>
      <c r="CO303" t="str">
        <f t="shared" si="62"/>
        <v>Off</v>
      </c>
      <c r="CP303" t="str">
        <f t="shared" si="62"/>
        <v>Off</v>
      </c>
      <c r="CQ303" t="str">
        <f t="shared" si="62"/>
        <v>Off</v>
      </c>
      <c r="CR303" t="str">
        <f t="shared" si="62"/>
        <v>Off</v>
      </c>
      <c r="CS303" t="str">
        <f t="shared" si="62"/>
        <v>Off</v>
      </c>
      <c r="CT303" t="str">
        <f t="shared" si="62"/>
        <v>Off</v>
      </c>
      <c r="CU303" t="str">
        <f t="shared" si="62"/>
        <v>Off</v>
      </c>
      <c r="CV303" t="str">
        <f t="shared" si="62"/>
        <v>Off</v>
      </c>
      <c r="CW303" t="str">
        <f t="shared" si="62"/>
        <v>Off</v>
      </c>
    </row>
    <row r="304" spans="1:101">
      <c r="A304">
        <v>14</v>
      </c>
      <c r="B304" t="str">
        <f t="shared" si="49"/>
        <v>On</v>
      </c>
      <c r="C304" t="str">
        <f t="shared" si="49"/>
        <v>On</v>
      </c>
      <c r="D304" t="str">
        <f t="shared" si="49"/>
        <v>On</v>
      </c>
      <c r="E304" t="str">
        <f t="shared" si="50"/>
        <v>Off</v>
      </c>
      <c r="F304" t="str">
        <f t="shared" si="51"/>
        <v>Off</v>
      </c>
      <c r="G304" t="str">
        <f t="shared" si="51"/>
        <v>Off</v>
      </c>
      <c r="H304" t="str">
        <f t="shared" si="51"/>
        <v>Off</v>
      </c>
      <c r="I304" t="str">
        <f t="shared" si="52"/>
        <v>Off</v>
      </c>
      <c r="J304" t="str">
        <f t="shared" si="53"/>
        <v>Off</v>
      </c>
      <c r="K304" t="str">
        <f t="shared" si="63"/>
        <v>Off</v>
      </c>
      <c r="L304" t="str">
        <f t="shared" si="54"/>
        <v>Off</v>
      </c>
      <c r="M304" t="str">
        <f t="shared" si="54"/>
        <v>Off</v>
      </c>
      <c r="N304" t="str">
        <f t="shared" si="54"/>
        <v>Off</v>
      </c>
      <c r="O304" t="str">
        <f t="shared" si="54"/>
        <v>Off</v>
      </c>
      <c r="P304" t="str">
        <f t="shared" si="54"/>
        <v>Off</v>
      </c>
      <c r="Q304" t="str">
        <f t="shared" si="54"/>
        <v>Off</v>
      </c>
      <c r="R304" t="str">
        <f t="shared" si="54"/>
        <v>Off</v>
      </c>
      <c r="S304" t="str">
        <f t="shared" si="54"/>
        <v>Off</v>
      </c>
      <c r="T304" t="str">
        <f t="shared" si="54"/>
        <v>Off</v>
      </c>
      <c r="U304" t="str">
        <f t="shared" si="54"/>
        <v>Off</v>
      </c>
      <c r="V304" t="str">
        <f t="shared" si="55"/>
        <v>Off</v>
      </c>
      <c r="W304" t="str">
        <f t="shared" si="55"/>
        <v>Off</v>
      </c>
      <c r="X304" t="str">
        <f t="shared" si="55"/>
        <v>Off</v>
      </c>
      <c r="Y304" t="str">
        <f t="shared" si="55"/>
        <v>Off</v>
      </c>
      <c r="Z304" t="str">
        <f t="shared" si="55"/>
        <v>Off</v>
      </c>
      <c r="AA304" t="str">
        <f t="shared" si="55"/>
        <v>Off</v>
      </c>
      <c r="AB304" t="str">
        <f t="shared" si="55"/>
        <v>Off</v>
      </c>
      <c r="AC304" t="str">
        <f t="shared" si="55"/>
        <v>Off</v>
      </c>
      <c r="AD304" t="str">
        <f t="shared" si="55"/>
        <v>Off</v>
      </c>
      <c r="AE304" t="str">
        <f t="shared" si="55"/>
        <v>Off</v>
      </c>
      <c r="AF304" t="str">
        <f t="shared" si="56"/>
        <v>Off</v>
      </c>
      <c r="AG304" t="str">
        <f t="shared" si="56"/>
        <v>Off</v>
      </c>
      <c r="AH304" t="str">
        <f t="shared" si="56"/>
        <v>Off</v>
      </c>
      <c r="AI304" t="str">
        <f t="shared" si="56"/>
        <v>Off</v>
      </c>
      <c r="AJ304" t="str">
        <f t="shared" si="56"/>
        <v>Off</v>
      </c>
      <c r="AK304" t="str">
        <f t="shared" si="56"/>
        <v>Off</v>
      </c>
      <c r="AL304" t="str">
        <f t="shared" si="56"/>
        <v>Off</v>
      </c>
      <c r="AM304" t="str">
        <f t="shared" si="56"/>
        <v>Off</v>
      </c>
      <c r="AN304" t="str">
        <f t="shared" si="56"/>
        <v>Off</v>
      </c>
      <c r="AO304" t="str">
        <f t="shared" si="56"/>
        <v>Off</v>
      </c>
      <c r="AP304" t="str">
        <f t="shared" si="57"/>
        <v>Off</v>
      </c>
      <c r="AQ304" t="str">
        <f t="shared" si="57"/>
        <v>Off</v>
      </c>
      <c r="AR304" t="str">
        <f t="shared" si="57"/>
        <v>Off</v>
      </c>
      <c r="AS304" t="str">
        <f t="shared" si="57"/>
        <v>Off</v>
      </c>
      <c r="AT304" t="str">
        <f t="shared" si="57"/>
        <v>Off</v>
      </c>
      <c r="AU304" t="str">
        <f t="shared" si="57"/>
        <v>Off</v>
      </c>
      <c r="AV304" t="str">
        <f t="shared" si="57"/>
        <v>Off</v>
      </c>
      <c r="AW304" t="str">
        <f t="shared" si="57"/>
        <v>Off</v>
      </c>
      <c r="AX304" t="str">
        <f t="shared" si="57"/>
        <v>Off</v>
      </c>
      <c r="AY304" t="str">
        <f t="shared" si="57"/>
        <v>Off</v>
      </c>
      <c r="AZ304" t="str">
        <f t="shared" si="58"/>
        <v>Off</v>
      </c>
      <c r="BA304" t="str">
        <f t="shared" si="58"/>
        <v>Off</v>
      </c>
      <c r="BB304" t="str">
        <f t="shared" si="58"/>
        <v>Off</v>
      </c>
      <c r="BC304" t="str">
        <f t="shared" si="58"/>
        <v>Off</v>
      </c>
      <c r="BD304" t="str">
        <f t="shared" si="58"/>
        <v>Off</v>
      </c>
      <c r="BE304" t="str">
        <f t="shared" si="58"/>
        <v>Off</v>
      </c>
      <c r="BF304" t="str">
        <f t="shared" si="58"/>
        <v>Off</v>
      </c>
      <c r="BG304" t="str">
        <f t="shared" si="58"/>
        <v>Off</v>
      </c>
      <c r="BH304" t="str">
        <f t="shared" si="58"/>
        <v>Off</v>
      </c>
      <c r="BI304" t="str">
        <f t="shared" si="58"/>
        <v>Off</v>
      </c>
      <c r="BJ304" t="str">
        <f t="shared" si="59"/>
        <v>Off</v>
      </c>
      <c r="BK304" t="str">
        <f t="shared" si="59"/>
        <v>Off</v>
      </c>
      <c r="BL304" t="str">
        <f t="shared" si="59"/>
        <v>Off</v>
      </c>
      <c r="BM304" t="str">
        <f t="shared" si="59"/>
        <v>Off</v>
      </c>
      <c r="BN304" t="str">
        <f t="shared" si="59"/>
        <v>Off</v>
      </c>
      <c r="BO304" t="str">
        <f t="shared" si="59"/>
        <v>Off</v>
      </c>
      <c r="BP304" t="str">
        <f t="shared" si="59"/>
        <v>Off</v>
      </c>
      <c r="BQ304" t="str">
        <f t="shared" si="59"/>
        <v>Off</v>
      </c>
      <c r="BR304" t="str">
        <f t="shared" si="59"/>
        <v>Off</v>
      </c>
      <c r="BS304" t="str">
        <f t="shared" si="59"/>
        <v>Off</v>
      </c>
      <c r="BT304" t="str">
        <f t="shared" si="60"/>
        <v>Off</v>
      </c>
      <c r="BU304" t="str">
        <f t="shared" si="60"/>
        <v>Off</v>
      </c>
      <c r="BV304" t="str">
        <f t="shared" si="60"/>
        <v>Off</v>
      </c>
      <c r="BW304" t="str">
        <f t="shared" si="60"/>
        <v>Off</v>
      </c>
      <c r="BX304" t="str">
        <f t="shared" si="60"/>
        <v>Off</v>
      </c>
      <c r="BY304" t="str">
        <f t="shared" si="60"/>
        <v>Off</v>
      </c>
      <c r="BZ304" t="str">
        <f t="shared" si="60"/>
        <v>Off</v>
      </c>
      <c r="CA304" t="str">
        <f t="shared" si="60"/>
        <v>Off</v>
      </c>
      <c r="CB304" t="str">
        <f t="shared" si="60"/>
        <v>Off</v>
      </c>
      <c r="CC304" t="str">
        <f t="shared" si="60"/>
        <v>Off</v>
      </c>
      <c r="CD304" t="str">
        <f t="shared" si="61"/>
        <v>Off</v>
      </c>
      <c r="CE304" t="str">
        <f t="shared" si="61"/>
        <v>Off</v>
      </c>
      <c r="CF304" t="str">
        <f t="shared" si="61"/>
        <v>Off</v>
      </c>
      <c r="CG304" t="str">
        <f t="shared" si="61"/>
        <v>Off</v>
      </c>
      <c r="CH304" t="str">
        <f t="shared" si="61"/>
        <v>Off</v>
      </c>
      <c r="CI304" t="str">
        <f t="shared" si="61"/>
        <v>Off</v>
      </c>
      <c r="CJ304" t="str">
        <f t="shared" si="61"/>
        <v>Off</v>
      </c>
      <c r="CK304" t="str">
        <f t="shared" si="61"/>
        <v>Off</v>
      </c>
      <c r="CL304" t="str">
        <f t="shared" si="61"/>
        <v>Off</v>
      </c>
      <c r="CM304" t="str">
        <f t="shared" si="61"/>
        <v>Off</v>
      </c>
      <c r="CN304" t="str">
        <f t="shared" si="62"/>
        <v>Off</v>
      </c>
      <c r="CO304" t="str">
        <f t="shared" si="62"/>
        <v>Off</v>
      </c>
      <c r="CP304" t="str">
        <f t="shared" si="62"/>
        <v>Off</v>
      </c>
      <c r="CQ304" t="str">
        <f t="shared" si="62"/>
        <v>Off</v>
      </c>
      <c r="CR304" t="str">
        <f t="shared" si="62"/>
        <v>Off</v>
      </c>
      <c r="CS304" t="str">
        <f t="shared" si="62"/>
        <v>Off</v>
      </c>
      <c r="CT304" t="str">
        <f t="shared" si="62"/>
        <v>Off</v>
      </c>
      <c r="CU304" t="str">
        <f t="shared" si="62"/>
        <v>Off</v>
      </c>
      <c r="CV304" t="str">
        <f t="shared" si="62"/>
        <v>Off</v>
      </c>
      <c r="CW304" t="str">
        <f t="shared" si="62"/>
        <v>Off</v>
      </c>
    </row>
    <row r="305" spans="1:101">
      <c r="A305">
        <v>15</v>
      </c>
      <c r="B305" t="str">
        <f t="shared" si="49"/>
        <v>On</v>
      </c>
      <c r="C305" t="str">
        <f t="shared" si="49"/>
        <v>On</v>
      </c>
      <c r="D305" t="str">
        <f t="shared" si="49"/>
        <v>On</v>
      </c>
      <c r="E305" t="str">
        <f t="shared" si="50"/>
        <v>Off</v>
      </c>
      <c r="F305" t="str">
        <f t="shared" ref="F305:G311" si="64">"On"</f>
        <v>On</v>
      </c>
      <c r="G305" t="str">
        <f t="shared" si="64"/>
        <v>On</v>
      </c>
      <c r="H305" t="str">
        <f t="shared" ref="H305:H314" si="65">"Off"</f>
        <v>Off</v>
      </c>
      <c r="I305" t="str">
        <f t="shared" si="52"/>
        <v>Off</v>
      </c>
      <c r="J305" t="str">
        <f t="shared" si="53"/>
        <v>Off</v>
      </c>
      <c r="K305" t="str">
        <f t="shared" si="63"/>
        <v>Off</v>
      </c>
      <c r="L305" t="str">
        <f t="shared" si="54"/>
        <v>Off</v>
      </c>
      <c r="M305" t="str">
        <f t="shared" si="54"/>
        <v>Off</v>
      </c>
      <c r="N305" t="str">
        <f t="shared" si="54"/>
        <v>Off</v>
      </c>
      <c r="O305" t="str">
        <f t="shared" si="54"/>
        <v>Off</v>
      </c>
      <c r="P305" t="str">
        <f t="shared" si="54"/>
        <v>Off</v>
      </c>
      <c r="Q305" t="str">
        <f t="shared" si="54"/>
        <v>Off</v>
      </c>
      <c r="R305" t="str">
        <f t="shared" si="54"/>
        <v>Off</v>
      </c>
      <c r="S305" t="str">
        <f t="shared" si="54"/>
        <v>Off</v>
      </c>
      <c r="T305" t="str">
        <f t="shared" si="54"/>
        <v>Off</v>
      </c>
      <c r="U305" t="str">
        <f t="shared" si="54"/>
        <v>Off</v>
      </c>
      <c r="V305" t="str">
        <f t="shared" si="55"/>
        <v>Off</v>
      </c>
      <c r="W305" t="str">
        <f t="shared" si="55"/>
        <v>Off</v>
      </c>
      <c r="X305" t="str">
        <f t="shared" si="55"/>
        <v>Off</v>
      </c>
      <c r="Y305" t="str">
        <f t="shared" si="55"/>
        <v>Off</v>
      </c>
      <c r="Z305" t="str">
        <f t="shared" si="55"/>
        <v>Off</v>
      </c>
      <c r="AA305" t="str">
        <f t="shared" si="55"/>
        <v>Off</v>
      </c>
      <c r="AB305" t="str">
        <f t="shared" si="55"/>
        <v>Off</v>
      </c>
      <c r="AC305" t="str">
        <f t="shared" si="55"/>
        <v>Off</v>
      </c>
      <c r="AD305" t="str">
        <f t="shared" si="55"/>
        <v>Off</v>
      </c>
      <c r="AE305" t="str">
        <f t="shared" si="55"/>
        <v>Off</v>
      </c>
      <c r="AF305" t="str">
        <f t="shared" si="56"/>
        <v>Off</v>
      </c>
      <c r="AG305" t="str">
        <f t="shared" si="56"/>
        <v>Off</v>
      </c>
      <c r="AH305" t="str">
        <f t="shared" si="56"/>
        <v>Off</v>
      </c>
      <c r="AI305" t="str">
        <f t="shared" si="56"/>
        <v>Off</v>
      </c>
      <c r="AJ305" t="str">
        <f t="shared" si="56"/>
        <v>Off</v>
      </c>
      <c r="AK305" t="str">
        <f t="shared" si="56"/>
        <v>Off</v>
      </c>
      <c r="AL305" t="str">
        <f t="shared" si="56"/>
        <v>Off</v>
      </c>
      <c r="AM305" t="str">
        <f t="shared" si="56"/>
        <v>Off</v>
      </c>
      <c r="AN305" t="str">
        <f t="shared" si="56"/>
        <v>Off</v>
      </c>
      <c r="AO305" t="str">
        <f t="shared" si="56"/>
        <v>Off</v>
      </c>
      <c r="AP305" t="str">
        <f t="shared" si="57"/>
        <v>Off</v>
      </c>
      <c r="AQ305" t="str">
        <f t="shared" si="57"/>
        <v>Off</v>
      </c>
      <c r="AR305" t="str">
        <f t="shared" si="57"/>
        <v>Off</v>
      </c>
      <c r="AS305" t="str">
        <f t="shared" si="57"/>
        <v>Off</v>
      </c>
      <c r="AT305" t="str">
        <f t="shared" si="57"/>
        <v>Off</v>
      </c>
      <c r="AU305" t="str">
        <f t="shared" si="57"/>
        <v>Off</v>
      </c>
      <c r="AV305" t="str">
        <f t="shared" si="57"/>
        <v>Off</v>
      </c>
      <c r="AW305" t="str">
        <f t="shared" si="57"/>
        <v>Off</v>
      </c>
      <c r="AX305" t="str">
        <f t="shared" si="57"/>
        <v>Off</v>
      </c>
      <c r="AY305" t="str">
        <f t="shared" si="57"/>
        <v>Off</v>
      </c>
      <c r="AZ305" t="str">
        <f t="shared" si="58"/>
        <v>Off</v>
      </c>
      <c r="BA305" t="str">
        <f t="shared" si="58"/>
        <v>Off</v>
      </c>
      <c r="BB305" t="str">
        <f t="shared" si="58"/>
        <v>Off</v>
      </c>
      <c r="BC305" t="str">
        <f t="shared" si="58"/>
        <v>Off</v>
      </c>
      <c r="BD305" t="str">
        <f t="shared" si="58"/>
        <v>Off</v>
      </c>
      <c r="BE305" t="str">
        <f t="shared" si="58"/>
        <v>Off</v>
      </c>
      <c r="BF305" t="str">
        <f t="shared" si="58"/>
        <v>Off</v>
      </c>
      <c r="BG305" t="str">
        <f t="shared" si="58"/>
        <v>Off</v>
      </c>
      <c r="BH305" t="str">
        <f t="shared" si="58"/>
        <v>Off</v>
      </c>
      <c r="BI305" t="str">
        <f t="shared" si="58"/>
        <v>Off</v>
      </c>
      <c r="BJ305" t="str">
        <f t="shared" si="59"/>
        <v>Off</v>
      </c>
      <c r="BK305" t="str">
        <f t="shared" si="59"/>
        <v>Off</v>
      </c>
      <c r="BL305" t="str">
        <f t="shared" si="59"/>
        <v>Off</v>
      </c>
      <c r="BM305" t="str">
        <f t="shared" si="59"/>
        <v>Off</v>
      </c>
      <c r="BN305" t="str">
        <f t="shared" si="59"/>
        <v>Off</v>
      </c>
      <c r="BO305" t="str">
        <f t="shared" si="59"/>
        <v>Off</v>
      </c>
      <c r="BP305" t="str">
        <f t="shared" si="59"/>
        <v>Off</v>
      </c>
      <c r="BQ305" t="str">
        <f t="shared" si="59"/>
        <v>Off</v>
      </c>
      <c r="BR305" t="str">
        <f t="shared" si="59"/>
        <v>Off</v>
      </c>
      <c r="BS305" t="str">
        <f t="shared" si="59"/>
        <v>Off</v>
      </c>
      <c r="BT305" t="str">
        <f t="shared" si="60"/>
        <v>Off</v>
      </c>
      <c r="BU305" t="str">
        <f t="shared" si="60"/>
        <v>Off</v>
      </c>
      <c r="BV305" t="str">
        <f t="shared" si="60"/>
        <v>Off</v>
      </c>
      <c r="BW305" t="str">
        <f t="shared" si="60"/>
        <v>Off</v>
      </c>
      <c r="BX305" t="str">
        <f t="shared" si="60"/>
        <v>Off</v>
      </c>
      <c r="BY305" t="str">
        <f t="shared" si="60"/>
        <v>Off</v>
      </c>
      <c r="BZ305" t="str">
        <f t="shared" si="60"/>
        <v>Off</v>
      </c>
      <c r="CA305" t="str">
        <f t="shared" si="60"/>
        <v>Off</v>
      </c>
      <c r="CB305" t="str">
        <f t="shared" si="60"/>
        <v>Off</v>
      </c>
      <c r="CC305" t="str">
        <f t="shared" si="60"/>
        <v>Off</v>
      </c>
      <c r="CD305" t="str">
        <f t="shared" si="61"/>
        <v>Off</v>
      </c>
      <c r="CE305" t="str">
        <f t="shared" si="61"/>
        <v>Off</v>
      </c>
      <c r="CF305" t="str">
        <f t="shared" si="61"/>
        <v>Off</v>
      </c>
      <c r="CG305" t="str">
        <f t="shared" si="61"/>
        <v>Off</v>
      </c>
      <c r="CH305" t="str">
        <f t="shared" si="61"/>
        <v>Off</v>
      </c>
      <c r="CI305" t="str">
        <f t="shared" si="61"/>
        <v>Off</v>
      </c>
      <c r="CJ305" t="str">
        <f t="shared" si="61"/>
        <v>Off</v>
      </c>
      <c r="CK305" t="str">
        <f t="shared" si="61"/>
        <v>Off</v>
      </c>
      <c r="CL305" t="str">
        <f t="shared" si="61"/>
        <v>Off</v>
      </c>
      <c r="CM305" t="str">
        <f t="shared" si="61"/>
        <v>Off</v>
      </c>
      <c r="CN305" t="str">
        <f t="shared" si="62"/>
        <v>Off</v>
      </c>
      <c r="CO305" t="str">
        <f t="shared" si="62"/>
        <v>Off</v>
      </c>
      <c r="CP305" t="str">
        <f t="shared" si="62"/>
        <v>Off</v>
      </c>
      <c r="CQ305" t="str">
        <f t="shared" si="62"/>
        <v>Off</v>
      </c>
      <c r="CR305" t="str">
        <f t="shared" si="62"/>
        <v>Off</v>
      </c>
      <c r="CS305" t="str">
        <f t="shared" si="62"/>
        <v>Off</v>
      </c>
      <c r="CT305" t="str">
        <f t="shared" si="62"/>
        <v>Off</v>
      </c>
      <c r="CU305" t="str">
        <f t="shared" si="62"/>
        <v>Off</v>
      </c>
      <c r="CV305" t="str">
        <f t="shared" si="62"/>
        <v>Off</v>
      </c>
      <c r="CW305" t="str">
        <f t="shared" si="62"/>
        <v>Off</v>
      </c>
    </row>
    <row r="306" spans="1:101">
      <c r="A306">
        <v>16</v>
      </c>
      <c r="B306" t="str">
        <f t="shared" si="49"/>
        <v>On</v>
      </c>
      <c r="C306" t="str">
        <f t="shared" si="49"/>
        <v>On</v>
      </c>
      <c r="D306" t="str">
        <f t="shared" si="49"/>
        <v>On</v>
      </c>
      <c r="E306" t="str">
        <f t="shared" si="50"/>
        <v>Off</v>
      </c>
      <c r="F306" t="str">
        <f t="shared" si="64"/>
        <v>On</v>
      </c>
      <c r="G306" t="str">
        <f t="shared" si="64"/>
        <v>On</v>
      </c>
      <c r="H306" t="str">
        <f t="shared" si="65"/>
        <v>Off</v>
      </c>
      <c r="I306" t="str">
        <f t="shared" si="52"/>
        <v>Off</v>
      </c>
      <c r="J306" t="str">
        <f t="shared" si="53"/>
        <v>Off</v>
      </c>
      <c r="K306" t="str">
        <f t="shared" si="63"/>
        <v>Off</v>
      </c>
      <c r="L306" t="str">
        <f t="shared" si="54"/>
        <v>Off</v>
      </c>
      <c r="M306" t="str">
        <f t="shared" si="54"/>
        <v>Off</v>
      </c>
      <c r="N306" t="str">
        <f t="shared" si="54"/>
        <v>Off</v>
      </c>
      <c r="O306" t="str">
        <f t="shared" si="54"/>
        <v>Off</v>
      </c>
      <c r="P306" t="str">
        <f t="shared" si="54"/>
        <v>Off</v>
      </c>
      <c r="Q306" t="str">
        <f t="shared" si="54"/>
        <v>Off</v>
      </c>
      <c r="R306" t="str">
        <f t="shared" si="54"/>
        <v>Off</v>
      </c>
      <c r="S306" t="str">
        <f t="shared" si="54"/>
        <v>Off</v>
      </c>
      <c r="T306" t="str">
        <f t="shared" si="54"/>
        <v>Off</v>
      </c>
      <c r="U306" t="str">
        <f t="shared" si="54"/>
        <v>Off</v>
      </c>
      <c r="V306" t="str">
        <f t="shared" si="55"/>
        <v>Off</v>
      </c>
      <c r="W306" t="str">
        <f t="shared" si="55"/>
        <v>Off</v>
      </c>
      <c r="X306" t="str">
        <f t="shared" si="55"/>
        <v>Off</v>
      </c>
      <c r="Y306" t="str">
        <f t="shared" si="55"/>
        <v>Off</v>
      </c>
      <c r="Z306" t="str">
        <f t="shared" si="55"/>
        <v>Off</v>
      </c>
      <c r="AA306" t="str">
        <f t="shared" si="55"/>
        <v>Off</v>
      </c>
      <c r="AB306" t="str">
        <f t="shared" si="55"/>
        <v>Off</v>
      </c>
      <c r="AC306" t="str">
        <f t="shared" si="55"/>
        <v>Off</v>
      </c>
      <c r="AD306" t="str">
        <f t="shared" si="55"/>
        <v>Off</v>
      </c>
      <c r="AE306" t="str">
        <f t="shared" si="55"/>
        <v>Off</v>
      </c>
      <c r="AF306" t="str">
        <f t="shared" si="56"/>
        <v>Off</v>
      </c>
      <c r="AG306" t="str">
        <f t="shared" si="56"/>
        <v>Off</v>
      </c>
      <c r="AH306" t="str">
        <f t="shared" si="56"/>
        <v>Off</v>
      </c>
      <c r="AI306" t="str">
        <f t="shared" si="56"/>
        <v>Off</v>
      </c>
      <c r="AJ306" t="str">
        <f t="shared" si="56"/>
        <v>Off</v>
      </c>
      <c r="AK306" t="str">
        <f t="shared" si="56"/>
        <v>Off</v>
      </c>
      <c r="AL306" t="str">
        <f t="shared" si="56"/>
        <v>Off</v>
      </c>
      <c r="AM306" t="str">
        <f t="shared" si="56"/>
        <v>Off</v>
      </c>
      <c r="AN306" t="str">
        <f t="shared" si="56"/>
        <v>Off</v>
      </c>
      <c r="AO306" t="str">
        <f t="shared" si="56"/>
        <v>Off</v>
      </c>
      <c r="AP306" t="str">
        <f t="shared" si="57"/>
        <v>Off</v>
      </c>
      <c r="AQ306" t="str">
        <f t="shared" si="57"/>
        <v>Off</v>
      </c>
      <c r="AR306" t="str">
        <f t="shared" si="57"/>
        <v>Off</v>
      </c>
      <c r="AS306" t="str">
        <f t="shared" si="57"/>
        <v>Off</v>
      </c>
      <c r="AT306" t="str">
        <f t="shared" si="57"/>
        <v>Off</v>
      </c>
      <c r="AU306" t="str">
        <f t="shared" si="57"/>
        <v>Off</v>
      </c>
      <c r="AV306" t="str">
        <f t="shared" si="57"/>
        <v>Off</v>
      </c>
      <c r="AW306" t="str">
        <f t="shared" si="57"/>
        <v>Off</v>
      </c>
      <c r="AX306" t="str">
        <f t="shared" si="57"/>
        <v>Off</v>
      </c>
      <c r="AY306" t="str">
        <f t="shared" si="57"/>
        <v>Off</v>
      </c>
      <c r="AZ306" t="str">
        <f t="shared" si="58"/>
        <v>Off</v>
      </c>
      <c r="BA306" t="str">
        <f t="shared" si="58"/>
        <v>Off</v>
      </c>
      <c r="BB306" t="str">
        <f t="shared" si="58"/>
        <v>Off</v>
      </c>
      <c r="BC306" t="str">
        <f t="shared" si="58"/>
        <v>Off</v>
      </c>
      <c r="BD306" t="str">
        <f t="shared" si="58"/>
        <v>Off</v>
      </c>
      <c r="BE306" t="str">
        <f t="shared" si="58"/>
        <v>Off</v>
      </c>
      <c r="BF306" t="str">
        <f t="shared" si="58"/>
        <v>Off</v>
      </c>
      <c r="BG306" t="str">
        <f t="shared" si="58"/>
        <v>Off</v>
      </c>
      <c r="BH306" t="str">
        <f t="shared" si="58"/>
        <v>Off</v>
      </c>
      <c r="BI306" t="str">
        <f t="shared" si="58"/>
        <v>Off</v>
      </c>
      <c r="BJ306" t="str">
        <f t="shared" si="59"/>
        <v>Off</v>
      </c>
      <c r="BK306" t="str">
        <f t="shared" si="59"/>
        <v>Off</v>
      </c>
      <c r="BL306" t="str">
        <f t="shared" si="59"/>
        <v>Off</v>
      </c>
      <c r="BM306" t="str">
        <f t="shared" si="59"/>
        <v>Off</v>
      </c>
      <c r="BN306" t="str">
        <f t="shared" si="59"/>
        <v>Off</v>
      </c>
      <c r="BO306" t="str">
        <f t="shared" si="59"/>
        <v>Off</v>
      </c>
      <c r="BP306" t="str">
        <f t="shared" si="59"/>
        <v>Off</v>
      </c>
      <c r="BQ306" t="str">
        <f t="shared" si="59"/>
        <v>Off</v>
      </c>
      <c r="BR306" t="str">
        <f t="shared" si="59"/>
        <v>Off</v>
      </c>
      <c r="BS306" t="str">
        <f t="shared" si="59"/>
        <v>Off</v>
      </c>
      <c r="BT306" t="str">
        <f t="shared" si="60"/>
        <v>Off</v>
      </c>
      <c r="BU306" t="str">
        <f t="shared" si="60"/>
        <v>Off</v>
      </c>
      <c r="BV306" t="str">
        <f t="shared" si="60"/>
        <v>Off</v>
      </c>
      <c r="BW306" t="str">
        <f t="shared" si="60"/>
        <v>Off</v>
      </c>
      <c r="BX306" t="str">
        <f t="shared" si="60"/>
        <v>Off</v>
      </c>
      <c r="BY306" t="str">
        <f t="shared" si="60"/>
        <v>Off</v>
      </c>
      <c r="BZ306" t="str">
        <f t="shared" si="60"/>
        <v>Off</v>
      </c>
      <c r="CA306" t="str">
        <f t="shared" si="60"/>
        <v>Off</v>
      </c>
      <c r="CB306" t="str">
        <f t="shared" si="60"/>
        <v>Off</v>
      </c>
      <c r="CC306" t="str">
        <f t="shared" si="60"/>
        <v>Off</v>
      </c>
      <c r="CD306" t="str">
        <f t="shared" si="61"/>
        <v>Off</v>
      </c>
      <c r="CE306" t="str">
        <f t="shared" si="61"/>
        <v>Off</v>
      </c>
      <c r="CF306" t="str">
        <f t="shared" si="61"/>
        <v>Off</v>
      </c>
      <c r="CG306" t="str">
        <f t="shared" si="61"/>
        <v>Off</v>
      </c>
      <c r="CH306" t="str">
        <f t="shared" si="61"/>
        <v>Off</v>
      </c>
      <c r="CI306" t="str">
        <f t="shared" si="61"/>
        <v>Off</v>
      </c>
      <c r="CJ306" t="str">
        <f t="shared" si="61"/>
        <v>Off</v>
      </c>
      <c r="CK306" t="str">
        <f t="shared" si="61"/>
        <v>Off</v>
      </c>
      <c r="CL306" t="str">
        <f t="shared" si="61"/>
        <v>Off</v>
      </c>
      <c r="CM306" t="str">
        <f t="shared" si="61"/>
        <v>Off</v>
      </c>
      <c r="CN306" t="str">
        <f t="shared" si="62"/>
        <v>Off</v>
      </c>
      <c r="CO306" t="str">
        <f t="shared" si="62"/>
        <v>Off</v>
      </c>
      <c r="CP306" t="str">
        <f t="shared" si="62"/>
        <v>Off</v>
      </c>
      <c r="CQ306" t="str">
        <f t="shared" si="62"/>
        <v>Off</v>
      </c>
      <c r="CR306" t="str">
        <f t="shared" si="62"/>
        <v>Off</v>
      </c>
      <c r="CS306" t="str">
        <f t="shared" si="62"/>
        <v>Off</v>
      </c>
      <c r="CT306" t="str">
        <f t="shared" si="62"/>
        <v>Off</v>
      </c>
      <c r="CU306" t="str">
        <f t="shared" si="62"/>
        <v>Off</v>
      </c>
      <c r="CV306" t="str">
        <f t="shared" si="62"/>
        <v>Off</v>
      </c>
      <c r="CW306" t="str">
        <f t="shared" si="62"/>
        <v>Off</v>
      </c>
    </row>
    <row r="307" spans="1:101">
      <c r="A307">
        <v>17</v>
      </c>
      <c r="B307" t="str">
        <f t="shared" si="49"/>
        <v>On</v>
      </c>
      <c r="C307" t="str">
        <f t="shared" si="49"/>
        <v>On</v>
      </c>
      <c r="D307" t="str">
        <f t="shared" si="49"/>
        <v>On</v>
      </c>
      <c r="E307" t="str">
        <f t="shared" si="50"/>
        <v>Off</v>
      </c>
      <c r="F307" t="str">
        <f t="shared" si="64"/>
        <v>On</v>
      </c>
      <c r="G307" t="str">
        <f t="shared" si="64"/>
        <v>On</v>
      </c>
      <c r="H307" t="str">
        <f t="shared" si="65"/>
        <v>Off</v>
      </c>
      <c r="I307" t="str">
        <f t="shared" si="52"/>
        <v>Off</v>
      </c>
      <c r="J307" t="str">
        <f t="shared" si="53"/>
        <v>Off</v>
      </c>
      <c r="K307" t="str">
        <f t="shared" si="63"/>
        <v>Off</v>
      </c>
      <c r="L307" t="str">
        <f t="shared" si="54"/>
        <v>Off</v>
      </c>
      <c r="M307" t="str">
        <f t="shared" si="54"/>
        <v>Off</v>
      </c>
      <c r="N307" t="str">
        <f t="shared" si="54"/>
        <v>Off</v>
      </c>
      <c r="O307" t="str">
        <f t="shared" si="54"/>
        <v>Off</v>
      </c>
      <c r="P307" t="str">
        <f t="shared" si="54"/>
        <v>Off</v>
      </c>
      <c r="Q307" t="str">
        <f t="shared" si="54"/>
        <v>Off</v>
      </c>
      <c r="R307" t="str">
        <f t="shared" si="54"/>
        <v>Off</v>
      </c>
      <c r="S307" t="str">
        <f t="shared" si="54"/>
        <v>Off</v>
      </c>
      <c r="T307" t="str">
        <f t="shared" si="54"/>
        <v>Off</v>
      </c>
      <c r="U307" t="str">
        <f t="shared" si="54"/>
        <v>Off</v>
      </c>
      <c r="V307" t="str">
        <f t="shared" si="55"/>
        <v>Off</v>
      </c>
      <c r="W307" t="str">
        <f t="shared" si="55"/>
        <v>Off</v>
      </c>
      <c r="X307" t="str">
        <f t="shared" si="55"/>
        <v>Off</v>
      </c>
      <c r="Y307" t="str">
        <f t="shared" si="55"/>
        <v>Off</v>
      </c>
      <c r="Z307" t="str">
        <f t="shared" si="55"/>
        <v>Off</v>
      </c>
      <c r="AA307" t="str">
        <f t="shared" si="55"/>
        <v>Off</v>
      </c>
      <c r="AB307" t="str">
        <f t="shared" si="55"/>
        <v>Off</v>
      </c>
      <c r="AC307" t="str">
        <f t="shared" si="55"/>
        <v>Off</v>
      </c>
      <c r="AD307" t="str">
        <f t="shared" si="55"/>
        <v>Off</v>
      </c>
      <c r="AE307" t="str">
        <f t="shared" si="55"/>
        <v>Off</v>
      </c>
      <c r="AF307" t="str">
        <f t="shared" si="56"/>
        <v>Off</v>
      </c>
      <c r="AG307" t="str">
        <f t="shared" si="56"/>
        <v>Off</v>
      </c>
      <c r="AH307" t="str">
        <f t="shared" si="56"/>
        <v>Off</v>
      </c>
      <c r="AI307" t="str">
        <f t="shared" si="56"/>
        <v>Off</v>
      </c>
      <c r="AJ307" t="str">
        <f t="shared" si="56"/>
        <v>Off</v>
      </c>
      <c r="AK307" t="str">
        <f t="shared" si="56"/>
        <v>Off</v>
      </c>
      <c r="AL307" t="str">
        <f t="shared" si="56"/>
        <v>Off</v>
      </c>
      <c r="AM307" t="str">
        <f t="shared" si="56"/>
        <v>Off</v>
      </c>
      <c r="AN307" t="str">
        <f t="shared" si="56"/>
        <v>Off</v>
      </c>
      <c r="AO307" t="str">
        <f t="shared" si="56"/>
        <v>Off</v>
      </c>
      <c r="AP307" t="str">
        <f t="shared" si="57"/>
        <v>Off</v>
      </c>
      <c r="AQ307" t="str">
        <f t="shared" si="57"/>
        <v>Off</v>
      </c>
      <c r="AR307" t="str">
        <f t="shared" si="57"/>
        <v>Off</v>
      </c>
      <c r="AS307" t="str">
        <f t="shared" si="57"/>
        <v>Off</v>
      </c>
      <c r="AT307" t="str">
        <f t="shared" si="57"/>
        <v>Off</v>
      </c>
      <c r="AU307" t="str">
        <f t="shared" si="57"/>
        <v>Off</v>
      </c>
      <c r="AV307" t="str">
        <f t="shared" si="57"/>
        <v>Off</v>
      </c>
      <c r="AW307" t="str">
        <f t="shared" si="57"/>
        <v>Off</v>
      </c>
      <c r="AX307" t="str">
        <f t="shared" si="57"/>
        <v>Off</v>
      </c>
      <c r="AY307" t="str">
        <f t="shared" si="57"/>
        <v>Off</v>
      </c>
      <c r="AZ307" t="str">
        <f t="shared" si="58"/>
        <v>Off</v>
      </c>
      <c r="BA307" t="str">
        <f t="shared" si="58"/>
        <v>Off</v>
      </c>
      <c r="BB307" t="str">
        <f t="shared" si="58"/>
        <v>Off</v>
      </c>
      <c r="BC307" t="str">
        <f t="shared" si="58"/>
        <v>Off</v>
      </c>
      <c r="BD307" t="str">
        <f t="shared" si="58"/>
        <v>Off</v>
      </c>
      <c r="BE307" t="str">
        <f t="shared" si="58"/>
        <v>Off</v>
      </c>
      <c r="BF307" t="str">
        <f t="shared" si="58"/>
        <v>Off</v>
      </c>
      <c r="BG307" t="str">
        <f t="shared" si="58"/>
        <v>Off</v>
      </c>
      <c r="BH307" t="str">
        <f t="shared" si="58"/>
        <v>Off</v>
      </c>
      <c r="BI307" t="str">
        <f t="shared" si="58"/>
        <v>Off</v>
      </c>
      <c r="BJ307" t="str">
        <f t="shared" si="59"/>
        <v>Off</v>
      </c>
      <c r="BK307" t="str">
        <f t="shared" si="59"/>
        <v>Off</v>
      </c>
      <c r="BL307" t="str">
        <f t="shared" si="59"/>
        <v>Off</v>
      </c>
      <c r="BM307" t="str">
        <f t="shared" si="59"/>
        <v>Off</v>
      </c>
      <c r="BN307" t="str">
        <f t="shared" si="59"/>
        <v>Off</v>
      </c>
      <c r="BO307" t="str">
        <f t="shared" si="59"/>
        <v>Off</v>
      </c>
      <c r="BP307" t="str">
        <f t="shared" si="59"/>
        <v>Off</v>
      </c>
      <c r="BQ307" t="str">
        <f t="shared" si="59"/>
        <v>Off</v>
      </c>
      <c r="BR307" t="str">
        <f t="shared" si="59"/>
        <v>Off</v>
      </c>
      <c r="BS307" t="str">
        <f t="shared" si="59"/>
        <v>Off</v>
      </c>
      <c r="BT307" t="str">
        <f t="shared" si="60"/>
        <v>Off</v>
      </c>
      <c r="BU307" t="str">
        <f t="shared" si="60"/>
        <v>Off</v>
      </c>
      <c r="BV307" t="str">
        <f t="shared" si="60"/>
        <v>Off</v>
      </c>
      <c r="BW307" t="str">
        <f t="shared" si="60"/>
        <v>Off</v>
      </c>
      <c r="BX307" t="str">
        <f t="shared" si="60"/>
        <v>Off</v>
      </c>
      <c r="BY307" t="str">
        <f t="shared" si="60"/>
        <v>Off</v>
      </c>
      <c r="BZ307" t="str">
        <f t="shared" si="60"/>
        <v>Off</v>
      </c>
      <c r="CA307" t="str">
        <f t="shared" si="60"/>
        <v>Off</v>
      </c>
      <c r="CB307" t="str">
        <f t="shared" si="60"/>
        <v>Off</v>
      </c>
      <c r="CC307" t="str">
        <f t="shared" si="60"/>
        <v>Off</v>
      </c>
      <c r="CD307" t="str">
        <f t="shared" si="61"/>
        <v>Off</v>
      </c>
      <c r="CE307" t="str">
        <f t="shared" si="61"/>
        <v>Off</v>
      </c>
      <c r="CF307" t="str">
        <f t="shared" si="61"/>
        <v>Off</v>
      </c>
      <c r="CG307" t="str">
        <f t="shared" si="61"/>
        <v>Off</v>
      </c>
      <c r="CH307" t="str">
        <f t="shared" si="61"/>
        <v>Off</v>
      </c>
      <c r="CI307" t="str">
        <f t="shared" si="61"/>
        <v>Off</v>
      </c>
      <c r="CJ307" t="str">
        <f t="shared" si="61"/>
        <v>Off</v>
      </c>
      <c r="CK307" t="str">
        <f t="shared" si="61"/>
        <v>Off</v>
      </c>
      <c r="CL307" t="str">
        <f t="shared" si="61"/>
        <v>Off</v>
      </c>
      <c r="CM307" t="str">
        <f t="shared" si="61"/>
        <v>Off</v>
      </c>
      <c r="CN307" t="str">
        <f t="shared" si="62"/>
        <v>Off</v>
      </c>
      <c r="CO307" t="str">
        <f t="shared" si="62"/>
        <v>Off</v>
      </c>
      <c r="CP307" t="str">
        <f t="shared" si="62"/>
        <v>Off</v>
      </c>
      <c r="CQ307" t="str">
        <f t="shared" si="62"/>
        <v>Off</v>
      </c>
      <c r="CR307" t="str">
        <f t="shared" si="62"/>
        <v>Off</v>
      </c>
      <c r="CS307" t="str">
        <f t="shared" si="62"/>
        <v>Off</v>
      </c>
      <c r="CT307" t="str">
        <f t="shared" si="62"/>
        <v>Off</v>
      </c>
      <c r="CU307" t="str">
        <f t="shared" si="62"/>
        <v>Off</v>
      </c>
      <c r="CV307" t="str">
        <f t="shared" si="62"/>
        <v>Off</v>
      </c>
      <c r="CW307" t="str">
        <f t="shared" si="62"/>
        <v>Off</v>
      </c>
    </row>
    <row r="308" spans="1:101">
      <c r="A308">
        <v>18</v>
      </c>
      <c r="B308" t="str">
        <f t="shared" si="49"/>
        <v>On</v>
      </c>
      <c r="C308" t="str">
        <f t="shared" si="49"/>
        <v>On</v>
      </c>
      <c r="D308" t="str">
        <f t="shared" si="49"/>
        <v>On</v>
      </c>
      <c r="E308" t="str">
        <f t="shared" si="50"/>
        <v>Off</v>
      </c>
      <c r="F308" t="str">
        <f t="shared" si="64"/>
        <v>On</v>
      </c>
      <c r="G308" t="str">
        <f t="shared" si="64"/>
        <v>On</v>
      </c>
      <c r="H308" t="str">
        <f t="shared" si="65"/>
        <v>Off</v>
      </c>
      <c r="I308" t="str">
        <f t="shared" si="52"/>
        <v>Off</v>
      </c>
      <c r="J308" t="str">
        <f t="shared" si="53"/>
        <v>Off</v>
      </c>
      <c r="K308" t="str">
        <f t="shared" si="63"/>
        <v>Off</v>
      </c>
      <c r="L308" t="str">
        <f t="shared" si="54"/>
        <v>Off</v>
      </c>
      <c r="M308" t="str">
        <f t="shared" si="54"/>
        <v>Off</v>
      </c>
      <c r="N308" t="str">
        <f t="shared" si="54"/>
        <v>Off</v>
      </c>
      <c r="O308" t="str">
        <f t="shared" si="54"/>
        <v>Off</v>
      </c>
      <c r="P308" t="str">
        <f t="shared" si="54"/>
        <v>Off</v>
      </c>
      <c r="Q308" t="str">
        <f t="shared" si="54"/>
        <v>Off</v>
      </c>
      <c r="R308" t="str">
        <f t="shared" si="54"/>
        <v>Off</v>
      </c>
      <c r="S308" t="str">
        <f t="shared" si="54"/>
        <v>Off</v>
      </c>
      <c r="T308" t="str">
        <f t="shared" si="54"/>
        <v>Off</v>
      </c>
      <c r="U308" t="str">
        <f t="shared" si="54"/>
        <v>Off</v>
      </c>
      <c r="V308" t="str">
        <f t="shared" si="55"/>
        <v>Off</v>
      </c>
      <c r="W308" t="str">
        <f t="shared" si="55"/>
        <v>Off</v>
      </c>
      <c r="X308" t="str">
        <f t="shared" si="55"/>
        <v>Off</v>
      </c>
      <c r="Y308" t="str">
        <f t="shared" si="55"/>
        <v>Off</v>
      </c>
      <c r="Z308" t="str">
        <f t="shared" si="55"/>
        <v>Off</v>
      </c>
      <c r="AA308" t="str">
        <f t="shared" si="55"/>
        <v>Off</v>
      </c>
      <c r="AB308" t="str">
        <f t="shared" si="55"/>
        <v>Off</v>
      </c>
      <c r="AC308" t="str">
        <f t="shared" si="55"/>
        <v>Off</v>
      </c>
      <c r="AD308" t="str">
        <f t="shared" si="55"/>
        <v>Off</v>
      </c>
      <c r="AE308" t="str">
        <f t="shared" si="55"/>
        <v>Off</v>
      </c>
      <c r="AF308" t="str">
        <f t="shared" si="56"/>
        <v>Off</v>
      </c>
      <c r="AG308" t="str">
        <f t="shared" si="56"/>
        <v>Off</v>
      </c>
      <c r="AH308" t="str">
        <f t="shared" si="56"/>
        <v>Off</v>
      </c>
      <c r="AI308" t="str">
        <f t="shared" si="56"/>
        <v>Off</v>
      </c>
      <c r="AJ308" t="str">
        <f t="shared" si="56"/>
        <v>Off</v>
      </c>
      <c r="AK308" t="str">
        <f t="shared" si="56"/>
        <v>Off</v>
      </c>
      <c r="AL308" t="str">
        <f t="shared" si="56"/>
        <v>Off</v>
      </c>
      <c r="AM308" t="str">
        <f t="shared" si="56"/>
        <v>Off</v>
      </c>
      <c r="AN308" t="str">
        <f t="shared" si="56"/>
        <v>Off</v>
      </c>
      <c r="AO308" t="str">
        <f t="shared" si="56"/>
        <v>Off</v>
      </c>
      <c r="AP308" t="str">
        <f t="shared" si="57"/>
        <v>Off</v>
      </c>
      <c r="AQ308" t="str">
        <f t="shared" si="57"/>
        <v>Off</v>
      </c>
      <c r="AR308" t="str">
        <f t="shared" si="57"/>
        <v>Off</v>
      </c>
      <c r="AS308" t="str">
        <f t="shared" si="57"/>
        <v>Off</v>
      </c>
      <c r="AT308" t="str">
        <f t="shared" si="57"/>
        <v>Off</v>
      </c>
      <c r="AU308" t="str">
        <f t="shared" si="57"/>
        <v>Off</v>
      </c>
      <c r="AV308" t="str">
        <f t="shared" si="57"/>
        <v>Off</v>
      </c>
      <c r="AW308" t="str">
        <f t="shared" si="57"/>
        <v>Off</v>
      </c>
      <c r="AX308" t="str">
        <f t="shared" si="57"/>
        <v>Off</v>
      </c>
      <c r="AY308" t="str">
        <f t="shared" si="57"/>
        <v>Off</v>
      </c>
      <c r="AZ308" t="str">
        <f t="shared" si="58"/>
        <v>Off</v>
      </c>
      <c r="BA308" t="str">
        <f t="shared" si="58"/>
        <v>Off</v>
      </c>
      <c r="BB308" t="str">
        <f t="shared" si="58"/>
        <v>Off</v>
      </c>
      <c r="BC308" t="str">
        <f t="shared" si="58"/>
        <v>Off</v>
      </c>
      <c r="BD308" t="str">
        <f t="shared" si="58"/>
        <v>Off</v>
      </c>
      <c r="BE308" t="str">
        <f t="shared" si="58"/>
        <v>Off</v>
      </c>
      <c r="BF308" t="str">
        <f t="shared" si="58"/>
        <v>Off</v>
      </c>
      <c r="BG308" t="str">
        <f t="shared" si="58"/>
        <v>Off</v>
      </c>
      <c r="BH308" t="str">
        <f t="shared" si="58"/>
        <v>Off</v>
      </c>
      <c r="BI308" t="str">
        <f t="shared" si="58"/>
        <v>Off</v>
      </c>
      <c r="BJ308" t="str">
        <f t="shared" si="59"/>
        <v>Off</v>
      </c>
      <c r="BK308" t="str">
        <f t="shared" si="59"/>
        <v>Off</v>
      </c>
      <c r="BL308" t="str">
        <f t="shared" si="59"/>
        <v>Off</v>
      </c>
      <c r="BM308" t="str">
        <f t="shared" si="59"/>
        <v>Off</v>
      </c>
      <c r="BN308" t="str">
        <f t="shared" si="59"/>
        <v>Off</v>
      </c>
      <c r="BO308" t="str">
        <f t="shared" si="59"/>
        <v>Off</v>
      </c>
      <c r="BP308" t="str">
        <f t="shared" si="59"/>
        <v>Off</v>
      </c>
      <c r="BQ308" t="str">
        <f t="shared" si="59"/>
        <v>Off</v>
      </c>
      <c r="BR308" t="str">
        <f t="shared" si="59"/>
        <v>Off</v>
      </c>
      <c r="BS308" t="str">
        <f t="shared" si="59"/>
        <v>Off</v>
      </c>
      <c r="BT308" t="str">
        <f t="shared" si="60"/>
        <v>Off</v>
      </c>
      <c r="BU308" t="str">
        <f t="shared" si="60"/>
        <v>Off</v>
      </c>
      <c r="BV308" t="str">
        <f t="shared" si="60"/>
        <v>Off</v>
      </c>
      <c r="BW308" t="str">
        <f t="shared" si="60"/>
        <v>Off</v>
      </c>
      <c r="BX308" t="str">
        <f t="shared" si="60"/>
        <v>Off</v>
      </c>
      <c r="BY308" t="str">
        <f t="shared" si="60"/>
        <v>Off</v>
      </c>
      <c r="BZ308" t="str">
        <f t="shared" si="60"/>
        <v>Off</v>
      </c>
      <c r="CA308" t="str">
        <f t="shared" si="60"/>
        <v>Off</v>
      </c>
      <c r="CB308" t="str">
        <f t="shared" si="60"/>
        <v>Off</v>
      </c>
      <c r="CC308" t="str">
        <f t="shared" si="60"/>
        <v>Off</v>
      </c>
      <c r="CD308" t="str">
        <f t="shared" si="61"/>
        <v>Off</v>
      </c>
      <c r="CE308" t="str">
        <f t="shared" si="61"/>
        <v>Off</v>
      </c>
      <c r="CF308" t="str">
        <f t="shared" si="61"/>
        <v>Off</v>
      </c>
      <c r="CG308" t="str">
        <f t="shared" si="61"/>
        <v>Off</v>
      </c>
      <c r="CH308" t="str">
        <f t="shared" si="61"/>
        <v>Off</v>
      </c>
      <c r="CI308" t="str">
        <f t="shared" si="61"/>
        <v>Off</v>
      </c>
      <c r="CJ308" t="str">
        <f t="shared" si="61"/>
        <v>Off</v>
      </c>
      <c r="CK308" t="str">
        <f t="shared" si="61"/>
        <v>Off</v>
      </c>
      <c r="CL308" t="str">
        <f t="shared" si="61"/>
        <v>Off</v>
      </c>
      <c r="CM308" t="str">
        <f t="shared" si="61"/>
        <v>Off</v>
      </c>
      <c r="CN308" t="str">
        <f t="shared" si="62"/>
        <v>Off</v>
      </c>
      <c r="CO308" t="str">
        <f t="shared" si="62"/>
        <v>Off</v>
      </c>
      <c r="CP308" t="str">
        <f t="shared" si="62"/>
        <v>Off</v>
      </c>
      <c r="CQ308" t="str">
        <f t="shared" si="62"/>
        <v>Off</v>
      </c>
      <c r="CR308" t="str">
        <f t="shared" si="62"/>
        <v>Off</v>
      </c>
      <c r="CS308" t="str">
        <f t="shared" si="62"/>
        <v>Off</v>
      </c>
      <c r="CT308" t="str">
        <f t="shared" si="62"/>
        <v>Off</v>
      </c>
      <c r="CU308" t="str">
        <f t="shared" si="62"/>
        <v>Off</v>
      </c>
      <c r="CV308" t="str">
        <f t="shared" si="62"/>
        <v>Off</v>
      </c>
      <c r="CW308" t="str">
        <f t="shared" si="62"/>
        <v>Off</v>
      </c>
    </row>
    <row r="309" spans="1:101">
      <c r="A309">
        <v>19</v>
      </c>
      <c r="B309" t="str">
        <f t="shared" si="49"/>
        <v>On</v>
      </c>
      <c r="C309" t="str">
        <f t="shared" si="49"/>
        <v>On</v>
      </c>
      <c r="D309" t="str">
        <f t="shared" si="49"/>
        <v>On</v>
      </c>
      <c r="E309" t="str">
        <f t="shared" si="50"/>
        <v>Off</v>
      </c>
      <c r="F309" t="str">
        <f t="shared" si="64"/>
        <v>On</v>
      </c>
      <c r="G309" t="str">
        <f t="shared" si="64"/>
        <v>On</v>
      </c>
      <c r="H309" t="str">
        <f t="shared" si="65"/>
        <v>Off</v>
      </c>
      <c r="I309" t="str">
        <f t="shared" si="52"/>
        <v>Off</v>
      </c>
      <c r="J309" t="str">
        <f t="shared" si="53"/>
        <v>Off</v>
      </c>
      <c r="K309" t="str">
        <f t="shared" si="63"/>
        <v>Off</v>
      </c>
      <c r="L309" t="str">
        <f t="shared" si="54"/>
        <v>Off</v>
      </c>
      <c r="M309" t="str">
        <f t="shared" si="54"/>
        <v>Off</v>
      </c>
      <c r="N309" t="str">
        <f t="shared" si="54"/>
        <v>Off</v>
      </c>
      <c r="O309" t="str">
        <f t="shared" si="54"/>
        <v>Off</v>
      </c>
      <c r="P309" t="str">
        <f t="shared" si="54"/>
        <v>Off</v>
      </c>
      <c r="Q309" t="str">
        <f t="shared" si="54"/>
        <v>Off</v>
      </c>
      <c r="R309" t="str">
        <f t="shared" si="54"/>
        <v>Off</v>
      </c>
      <c r="S309" t="str">
        <f t="shared" si="54"/>
        <v>Off</v>
      </c>
      <c r="T309" t="str">
        <f t="shared" si="54"/>
        <v>Off</v>
      </c>
      <c r="U309" t="str">
        <f t="shared" si="54"/>
        <v>Off</v>
      </c>
      <c r="V309" t="str">
        <f t="shared" si="55"/>
        <v>Off</v>
      </c>
      <c r="W309" t="str">
        <f t="shared" si="55"/>
        <v>Off</v>
      </c>
      <c r="X309" t="str">
        <f t="shared" si="55"/>
        <v>Off</v>
      </c>
      <c r="Y309" t="str">
        <f t="shared" si="55"/>
        <v>Off</v>
      </c>
      <c r="Z309" t="str">
        <f t="shared" si="55"/>
        <v>Off</v>
      </c>
      <c r="AA309" t="str">
        <f t="shared" si="55"/>
        <v>Off</v>
      </c>
      <c r="AB309" t="str">
        <f t="shared" si="55"/>
        <v>Off</v>
      </c>
      <c r="AC309" t="str">
        <f t="shared" si="55"/>
        <v>Off</v>
      </c>
      <c r="AD309" t="str">
        <f t="shared" si="55"/>
        <v>Off</v>
      </c>
      <c r="AE309" t="str">
        <f t="shared" si="55"/>
        <v>Off</v>
      </c>
      <c r="AF309" t="str">
        <f t="shared" si="56"/>
        <v>Off</v>
      </c>
      <c r="AG309" t="str">
        <f t="shared" si="56"/>
        <v>Off</v>
      </c>
      <c r="AH309" t="str">
        <f t="shared" si="56"/>
        <v>Off</v>
      </c>
      <c r="AI309" t="str">
        <f t="shared" si="56"/>
        <v>Off</v>
      </c>
      <c r="AJ309" t="str">
        <f t="shared" si="56"/>
        <v>Off</v>
      </c>
      <c r="AK309" t="str">
        <f t="shared" si="56"/>
        <v>Off</v>
      </c>
      <c r="AL309" t="str">
        <f t="shared" si="56"/>
        <v>Off</v>
      </c>
      <c r="AM309" t="str">
        <f t="shared" si="56"/>
        <v>Off</v>
      </c>
      <c r="AN309" t="str">
        <f t="shared" si="56"/>
        <v>Off</v>
      </c>
      <c r="AO309" t="str">
        <f t="shared" si="56"/>
        <v>Off</v>
      </c>
      <c r="AP309" t="str">
        <f t="shared" si="57"/>
        <v>Off</v>
      </c>
      <c r="AQ309" t="str">
        <f t="shared" si="57"/>
        <v>Off</v>
      </c>
      <c r="AR309" t="str">
        <f t="shared" si="57"/>
        <v>Off</v>
      </c>
      <c r="AS309" t="str">
        <f t="shared" si="57"/>
        <v>Off</v>
      </c>
      <c r="AT309" t="str">
        <f t="shared" si="57"/>
        <v>Off</v>
      </c>
      <c r="AU309" t="str">
        <f t="shared" si="57"/>
        <v>Off</v>
      </c>
      <c r="AV309" t="str">
        <f t="shared" si="57"/>
        <v>Off</v>
      </c>
      <c r="AW309" t="str">
        <f t="shared" si="57"/>
        <v>Off</v>
      </c>
      <c r="AX309" t="str">
        <f t="shared" si="57"/>
        <v>Off</v>
      </c>
      <c r="AY309" t="str">
        <f t="shared" si="57"/>
        <v>Off</v>
      </c>
      <c r="AZ309" t="str">
        <f t="shared" si="58"/>
        <v>Off</v>
      </c>
      <c r="BA309" t="str">
        <f t="shared" si="58"/>
        <v>Off</v>
      </c>
      <c r="BB309" t="str">
        <f t="shared" si="58"/>
        <v>Off</v>
      </c>
      <c r="BC309" t="str">
        <f t="shared" si="58"/>
        <v>Off</v>
      </c>
      <c r="BD309" t="str">
        <f t="shared" si="58"/>
        <v>Off</v>
      </c>
      <c r="BE309" t="str">
        <f t="shared" si="58"/>
        <v>Off</v>
      </c>
      <c r="BF309" t="str">
        <f t="shared" si="58"/>
        <v>Off</v>
      </c>
      <c r="BG309" t="str">
        <f t="shared" si="58"/>
        <v>Off</v>
      </c>
      <c r="BH309" t="str">
        <f t="shared" si="58"/>
        <v>Off</v>
      </c>
      <c r="BI309" t="str">
        <f t="shared" si="58"/>
        <v>Off</v>
      </c>
      <c r="BJ309" t="str">
        <f t="shared" si="59"/>
        <v>Off</v>
      </c>
      <c r="BK309" t="str">
        <f t="shared" si="59"/>
        <v>Off</v>
      </c>
      <c r="BL309" t="str">
        <f t="shared" si="59"/>
        <v>Off</v>
      </c>
      <c r="BM309" t="str">
        <f t="shared" si="59"/>
        <v>Off</v>
      </c>
      <c r="BN309" t="str">
        <f t="shared" si="59"/>
        <v>Off</v>
      </c>
      <c r="BO309" t="str">
        <f t="shared" si="59"/>
        <v>Off</v>
      </c>
      <c r="BP309" t="str">
        <f t="shared" si="59"/>
        <v>Off</v>
      </c>
      <c r="BQ309" t="str">
        <f t="shared" si="59"/>
        <v>Off</v>
      </c>
      <c r="BR309" t="str">
        <f t="shared" si="59"/>
        <v>Off</v>
      </c>
      <c r="BS309" t="str">
        <f t="shared" si="59"/>
        <v>Off</v>
      </c>
      <c r="BT309" t="str">
        <f t="shared" si="60"/>
        <v>Off</v>
      </c>
      <c r="BU309" t="str">
        <f t="shared" si="60"/>
        <v>Off</v>
      </c>
      <c r="BV309" t="str">
        <f t="shared" si="60"/>
        <v>Off</v>
      </c>
      <c r="BW309" t="str">
        <f t="shared" si="60"/>
        <v>Off</v>
      </c>
      <c r="BX309" t="str">
        <f t="shared" si="60"/>
        <v>Off</v>
      </c>
      <c r="BY309" t="str">
        <f t="shared" si="60"/>
        <v>Off</v>
      </c>
      <c r="BZ309" t="str">
        <f t="shared" si="60"/>
        <v>Off</v>
      </c>
      <c r="CA309" t="str">
        <f t="shared" si="60"/>
        <v>Off</v>
      </c>
      <c r="CB309" t="str">
        <f t="shared" si="60"/>
        <v>Off</v>
      </c>
      <c r="CC309" t="str">
        <f t="shared" si="60"/>
        <v>Off</v>
      </c>
      <c r="CD309" t="str">
        <f t="shared" si="61"/>
        <v>Off</v>
      </c>
      <c r="CE309" t="str">
        <f t="shared" si="61"/>
        <v>Off</v>
      </c>
      <c r="CF309" t="str">
        <f t="shared" si="61"/>
        <v>Off</v>
      </c>
      <c r="CG309" t="str">
        <f t="shared" si="61"/>
        <v>Off</v>
      </c>
      <c r="CH309" t="str">
        <f t="shared" si="61"/>
        <v>Off</v>
      </c>
      <c r="CI309" t="str">
        <f t="shared" si="61"/>
        <v>Off</v>
      </c>
      <c r="CJ309" t="str">
        <f t="shared" si="61"/>
        <v>Off</v>
      </c>
      <c r="CK309" t="str">
        <f t="shared" si="61"/>
        <v>Off</v>
      </c>
      <c r="CL309" t="str">
        <f t="shared" si="61"/>
        <v>Off</v>
      </c>
      <c r="CM309" t="str">
        <f t="shared" si="61"/>
        <v>Off</v>
      </c>
      <c r="CN309" t="str">
        <f t="shared" si="62"/>
        <v>Off</v>
      </c>
      <c r="CO309" t="str">
        <f t="shared" si="62"/>
        <v>Off</v>
      </c>
      <c r="CP309" t="str">
        <f t="shared" si="62"/>
        <v>Off</v>
      </c>
      <c r="CQ309" t="str">
        <f t="shared" si="62"/>
        <v>Off</v>
      </c>
      <c r="CR309" t="str">
        <f t="shared" si="62"/>
        <v>Off</v>
      </c>
      <c r="CS309" t="str">
        <f t="shared" si="62"/>
        <v>Off</v>
      </c>
      <c r="CT309" t="str">
        <f t="shared" si="62"/>
        <v>Off</v>
      </c>
      <c r="CU309" t="str">
        <f t="shared" si="62"/>
        <v>Off</v>
      </c>
      <c r="CV309" t="str">
        <f t="shared" si="62"/>
        <v>Off</v>
      </c>
      <c r="CW309" t="str">
        <f t="shared" si="62"/>
        <v>Off</v>
      </c>
    </row>
    <row r="310" spans="1:101">
      <c r="A310">
        <v>20</v>
      </c>
      <c r="B310" t="str">
        <f t="shared" si="49"/>
        <v>On</v>
      </c>
      <c r="C310" t="str">
        <f t="shared" si="49"/>
        <v>On</v>
      </c>
      <c r="D310" t="str">
        <f t="shared" si="49"/>
        <v>On</v>
      </c>
      <c r="E310" t="str">
        <f t="shared" si="50"/>
        <v>Off</v>
      </c>
      <c r="F310" t="str">
        <f t="shared" si="64"/>
        <v>On</v>
      </c>
      <c r="G310" t="str">
        <f t="shared" si="64"/>
        <v>On</v>
      </c>
      <c r="H310" t="str">
        <f t="shared" si="65"/>
        <v>Off</v>
      </c>
      <c r="I310" t="str">
        <f t="shared" si="52"/>
        <v>Off</v>
      </c>
      <c r="J310" t="str">
        <f t="shared" si="53"/>
        <v>Off</v>
      </c>
      <c r="K310" t="str">
        <f t="shared" si="63"/>
        <v>Off</v>
      </c>
      <c r="L310" t="str">
        <f t="shared" si="54"/>
        <v>Off</v>
      </c>
      <c r="M310" t="str">
        <f t="shared" si="54"/>
        <v>Off</v>
      </c>
      <c r="N310" t="str">
        <f t="shared" si="54"/>
        <v>Off</v>
      </c>
      <c r="O310" t="str">
        <f t="shared" si="54"/>
        <v>Off</v>
      </c>
      <c r="P310" t="str">
        <f t="shared" si="54"/>
        <v>Off</v>
      </c>
      <c r="Q310" t="str">
        <f t="shared" si="54"/>
        <v>Off</v>
      </c>
      <c r="R310" t="str">
        <f t="shared" si="54"/>
        <v>Off</v>
      </c>
      <c r="S310" t="str">
        <f t="shared" si="54"/>
        <v>Off</v>
      </c>
      <c r="T310" t="str">
        <f t="shared" si="54"/>
        <v>Off</v>
      </c>
      <c r="U310" t="str">
        <f t="shared" si="54"/>
        <v>Off</v>
      </c>
      <c r="V310" t="str">
        <f t="shared" si="55"/>
        <v>Off</v>
      </c>
      <c r="W310" t="str">
        <f t="shared" si="55"/>
        <v>Off</v>
      </c>
      <c r="X310" t="str">
        <f t="shared" si="55"/>
        <v>Off</v>
      </c>
      <c r="Y310" t="str">
        <f t="shared" si="55"/>
        <v>Off</v>
      </c>
      <c r="Z310" t="str">
        <f t="shared" si="55"/>
        <v>Off</v>
      </c>
      <c r="AA310" t="str">
        <f t="shared" si="55"/>
        <v>Off</v>
      </c>
      <c r="AB310" t="str">
        <f t="shared" si="55"/>
        <v>Off</v>
      </c>
      <c r="AC310" t="str">
        <f t="shared" si="55"/>
        <v>Off</v>
      </c>
      <c r="AD310" t="str">
        <f t="shared" si="55"/>
        <v>Off</v>
      </c>
      <c r="AE310" t="str">
        <f t="shared" si="55"/>
        <v>Off</v>
      </c>
      <c r="AF310" t="str">
        <f t="shared" si="56"/>
        <v>Off</v>
      </c>
      <c r="AG310" t="str">
        <f t="shared" si="56"/>
        <v>Off</v>
      </c>
      <c r="AH310" t="str">
        <f t="shared" si="56"/>
        <v>Off</v>
      </c>
      <c r="AI310" t="str">
        <f t="shared" si="56"/>
        <v>Off</v>
      </c>
      <c r="AJ310" t="str">
        <f t="shared" si="56"/>
        <v>Off</v>
      </c>
      <c r="AK310" t="str">
        <f t="shared" si="56"/>
        <v>Off</v>
      </c>
      <c r="AL310" t="str">
        <f t="shared" si="56"/>
        <v>Off</v>
      </c>
      <c r="AM310" t="str">
        <f t="shared" si="56"/>
        <v>Off</v>
      </c>
      <c r="AN310" t="str">
        <f t="shared" si="56"/>
        <v>Off</v>
      </c>
      <c r="AO310" t="str">
        <f t="shared" si="56"/>
        <v>Off</v>
      </c>
      <c r="AP310" t="str">
        <f t="shared" si="57"/>
        <v>Off</v>
      </c>
      <c r="AQ310" t="str">
        <f t="shared" si="57"/>
        <v>Off</v>
      </c>
      <c r="AR310" t="str">
        <f t="shared" si="57"/>
        <v>Off</v>
      </c>
      <c r="AS310" t="str">
        <f t="shared" si="57"/>
        <v>Off</v>
      </c>
      <c r="AT310" t="str">
        <f t="shared" si="57"/>
        <v>Off</v>
      </c>
      <c r="AU310" t="str">
        <f t="shared" si="57"/>
        <v>Off</v>
      </c>
      <c r="AV310" t="str">
        <f t="shared" si="57"/>
        <v>Off</v>
      </c>
      <c r="AW310" t="str">
        <f t="shared" si="57"/>
        <v>Off</v>
      </c>
      <c r="AX310" t="str">
        <f t="shared" si="57"/>
        <v>Off</v>
      </c>
      <c r="AY310" t="str">
        <f t="shared" si="57"/>
        <v>Off</v>
      </c>
      <c r="AZ310" t="str">
        <f t="shared" si="58"/>
        <v>Off</v>
      </c>
      <c r="BA310" t="str">
        <f t="shared" si="58"/>
        <v>Off</v>
      </c>
      <c r="BB310" t="str">
        <f t="shared" si="58"/>
        <v>Off</v>
      </c>
      <c r="BC310" t="str">
        <f t="shared" si="58"/>
        <v>Off</v>
      </c>
      <c r="BD310" t="str">
        <f t="shared" si="58"/>
        <v>Off</v>
      </c>
      <c r="BE310" t="str">
        <f t="shared" si="58"/>
        <v>Off</v>
      </c>
      <c r="BF310" t="str">
        <f t="shared" si="58"/>
        <v>Off</v>
      </c>
      <c r="BG310" t="str">
        <f t="shared" si="58"/>
        <v>Off</v>
      </c>
      <c r="BH310" t="str">
        <f t="shared" si="58"/>
        <v>Off</v>
      </c>
      <c r="BI310" t="str">
        <f t="shared" si="58"/>
        <v>Off</v>
      </c>
      <c r="BJ310" t="str">
        <f t="shared" si="59"/>
        <v>Off</v>
      </c>
      <c r="BK310" t="str">
        <f t="shared" si="59"/>
        <v>Off</v>
      </c>
      <c r="BL310" t="str">
        <f t="shared" si="59"/>
        <v>Off</v>
      </c>
      <c r="BM310" t="str">
        <f t="shared" si="59"/>
        <v>Off</v>
      </c>
      <c r="BN310" t="str">
        <f t="shared" si="59"/>
        <v>Off</v>
      </c>
      <c r="BO310" t="str">
        <f t="shared" si="59"/>
        <v>Off</v>
      </c>
      <c r="BP310" t="str">
        <f t="shared" si="59"/>
        <v>Off</v>
      </c>
      <c r="BQ310" t="str">
        <f t="shared" si="59"/>
        <v>Off</v>
      </c>
      <c r="BR310" t="str">
        <f t="shared" si="59"/>
        <v>Off</v>
      </c>
      <c r="BS310" t="str">
        <f t="shared" si="59"/>
        <v>Off</v>
      </c>
      <c r="BT310" t="str">
        <f t="shared" si="60"/>
        <v>Off</v>
      </c>
      <c r="BU310" t="str">
        <f t="shared" si="60"/>
        <v>Off</v>
      </c>
      <c r="BV310" t="str">
        <f t="shared" si="60"/>
        <v>Off</v>
      </c>
      <c r="BW310" t="str">
        <f t="shared" si="60"/>
        <v>Off</v>
      </c>
      <c r="BX310" t="str">
        <f t="shared" si="60"/>
        <v>Off</v>
      </c>
      <c r="BY310" t="str">
        <f t="shared" si="60"/>
        <v>Off</v>
      </c>
      <c r="BZ310" t="str">
        <f t="shared" si="60"/>
        <v>Off</v>
      </c>
      <c r="CA310" t="str">
        <f t="shared" si="60"/>
        <v>Off</v>
      </c>
      <c r="CB310" t="str">
        <f t="shared" si="60"/>
        <v>Off</v>
      </c>
      <c r="CC310" t="str">
        <f t="shared" si="60"/>
        <v>Off</v>
      </c>
      <c r="CD310" t="str">
        <f t="shared" si="61"/>
        <v>Off</v>
      </c>
      <c r="CE310" t="str">
        <f t="shared" si="61"/>
        <v>Off</v>
      </c>
      <c r="CF310" t="str">
        <f t="shared" si="61"/>
        <v>Off</v>
      </c>
      <c r="CG310" t="str">
        <f t="shared" si="61"/>
        <v>Off</v>
      </c>
      <c r="CH310" t="str">
        <f t="shared" si="61"/>
        <v>Off</v>
      </c>
      <c r="CI310" t="str">
        <f t="shared" si="61"/>
        <v>Off</v>
      </c>
      <c r="CJ310" t="str">
        <f t="shared" si="61"/>
        <v>Off</v>
      </c>
      <c r="CK310" t="str">
        <f t="shared" si="61"/>
        <v>Off</v>
      </c>
      <c r="CL310" t="str">
        <f t="shared" si="61"/>
        <v>Off</v>
      </c>
      <c r="CM310" t="str">
        <f t="shared" si="61"/>
        <v>Off</v>
      </c>
      <c r="CN310" t="str">
        <f t="shared" si="62"/>
        <v>Off</v>
      </c>
      <c r="CO310" t="str">
        <f t="shared" si="62"/>
        <v>Off</v>
      </c>
      <c r="CP310" t="str">
        <f t="shared" si="62"/>
        <v>Off</v>
      </c>
      <c r="CQ310" t="str">
        <f t="shared" si="62"/>
        <v>Off</v>
      </c>
      <c r="CR310" t="str">
        <f t="shared" si="62"/>
        <v>Off</v>
      </c>
      <c r="CS310" t="str">
        <f t="shared" si="62"/>
        <v>Off</v>
      </c>
      <c r="CT310" t="str">
        <f t="shared" si="62"/>
        <v>Off</v>
      </c>
      <c r="CU310" t="str">
        <f t="shared" si="62"/>
        <v>Off</v>
      </c>
      <c r="CV310" t="str">
        <f t="shared" si="62"/>
        <v>Off</v>
      </c>
      <c r="CW310" t="str">
        <f t="shared" si="62"/>
        <v>Off</v>
      </c>
    </row>
    <row r="311" spans="1:101">
      <c r="A311">
        <v>21</v>
      </c>
      <c r="B311" t="str">
        <f t="shared" si="49"/>
        <v>On</v>
      </c>
      <c r="C311" t="str">
        <f t="shared" si="49"/>
        <v>On</v>
      </c>
      <c r="D311" t="str">
        <f t="shared" si="49"/>
        <v>On</v>
      </c>
      <c r="E311" t="str">
        <f t="shared" si="50"/>
        <v>Off</v>
      </c>
      <c r="F311" t="str">
        <f t="shared" si="64"/>
        <v>On</v>
      </c>
      <c r="G311" t="str">
        <f t="shared" si="64"/>
        <v>On</v>
      </c>
      <c r="H311" t="str">
        <f t="shared" si="65"/>
        <v>Off</v>
      </c>
      <c r="I311" t="str">
        <f t="shared" si="52"/>
        <v>Off</v>
      </c>
      <c r="J311" t="str">
        <f t="shared" si="53"/>
        <v>Off</v>
      </c>
      <c r="K311" t="str">
        <f t="shared" si="63"/>
        <v>Off</v>
      </c>
      <c r="L311" t="str">
        <f t="shared" si="54"/>
        <v>Off</v>
      </c>
      <c r="M311" t="str">
        <f t="shared" si="54"/>
        <v>Off</v>
      </c>
      <c r="N311" t="str">
        <f t="shared" si="54"/>
        <v>Off</v>
      </c>
      <c r="O311" t="str">
        <f t="shared" si="54"/>
        <v>Off</v>
      </c>
      <c r="P311" t="str">
        <f t="shared" si="54"/>
        <v>Off</v>
      </c>
      <c r="Q311" t="str">
        <f t="shared" si="54"/>
        <v>Off</v>
      </c>
      <c r="R311" t="str">
        <f t="shared" si="54"/>
        <v>Off</v>
      </c>
      <c r="S311" t="str">
        <f t="shared" si="54"/>
        <v>Off</v>
      </c>
      <c r="T311" t="str">
        <f t="shared" si="54"/>
        <v>Off</v>
      </c>
      <c r="U311" t="str">
        <f t="shared" si="54"/>
        <v>Off</v>
      </c>
      <c r="V311" t="str">
        <f t="shared" si="55"/>
        <v>Off</v>
      </c>
      <c r="W311" t="str">
        <f t="shared" si="55"/>
        <v>Off</v>
      </c>
      <c r="X311" t="str">
        <f t="shared" si="55"/>
        <v>Off</v>
      </c>
      <c r="Y311" t="str">
        <f t="shared" si="55"/>
        <v>Off</v>
      </c>
      <c r="Z311" t="str">
        <f t="shared" si="55"/>
        <v>Off</v>
      </c>
      <c r="AA311" t="str">
        <f t="shared" si="55"/>
        <v>Off</v>
      </c>
      <c r="AB311" t="str">
        <f t="shared" si="55"/>
        <v>Off</v>
      </c>
      <c r="AC311" t="str">
        <f t="shared" si="55"/>
        <v>Off</v>
      </c>
      <c r="AD311" t="str">
        <f t="shared" si="55"/>
        <v>Off</v>
      </c>
      <c r="AE311" t="str">
        <f t="shared" si="55"/>
        <v>Off</v>
      </c>
      <c r="AF311" t="str">
        <f t="shared" si="56"/>
        <v>Off</v>
      </c>
      <c r="AG311" t="str">
        <f t="shared" si="56"/>
        <v>Off</v>
      </c>
      <c r="AH311" t="str">
        <f t="shared" si="56"/>
        <v>Off</v>
      </c>
      <c r="AI311" t="str">
        <f t="shared" si="56"/>
        <v>Off</v>
      </c>
      <c r="AJ311" t="str">
        <f t="shared" si="56"/>
        <v>Off</v>
      </c>
      <c r="AK311" t="str">
        <f t="shared" si="56"/>
        <v>Off</v>
      </c>
      <c r="AL311" t="str">
        <f t="shared" si="56"/>
        <v>Off</v>
      </c>
      <c r="AM311" t="str">
        <f t="shared" si="56"/>
        <v>Off</v>
      </c>
      <c r="AN311" t="str">
        <f t="shared" si="56"/>
        <v>Off</v>
      </c>
      <c r="AO311" t="str">
        <f t="shared" si="56"/>
        <v>Off</v>
      </c>
      <c r="AP311" t="str">
        <f t="shared" si="57"/>
        <v>Off</v>
      </c>
      <c r="AQ311" t="str">
        <f t="shared" si="57"/>
        <v>Off</v>
      </c>
      <c r="AR311" t="str">
        <f t="shared" si="57"/>
        <v>Off</v>
      </c>
      <c r="AS311" t="str">
        <f t="shared" si="57"/>
        <v>Off</v>
      </c>
      <c r="AT311" t="str">
        <f t="shared" si="57"/>
        <v>Off</v>
      </c>
      <c r="AU311" t="str">
        <f t="shared" si="57"/>
        <v>Off</v>
      </c>
      <c r="AV311" t="str">
        <f t="shared" si="57"/>
        <v>Off</v>
      </c>
      <c r="AW311" t="str">
        <f t="shared" si="57"/>
        <v>Off</v>
      </c>
      <c r="AX311" t="str">
        <f t="shared" si="57"/>
        <v>Off</v>
      </c>
      <c r="AY311" t="str">
        <f t="shared" si="57"/>
        <v>Off</v>
      </c>
      <c r="AZ311" t="str">
        <f t="shared" si="58"/>
        <v>Off</v>
      </c>
      <c r="BA311" t="str">
        <f t="shared" si="58"/>
        <v>Off</v>
      </c>
      <c r="BB311" t="str">
        <f t="shared" si="58"/>
        <v>Off</v>
      </c>
      <c r="BC311" t="str">
        <f t="shared" si="58"/>
        <v>Off</v>
      </c>
      <c r="BD311" t="str">
        <f t="shared" si="58"/>
        <v>Off</v>
      </c>
      <c r="BE311" t="str">
        <f t="shared" si="58"/>
        <v>Off</v>
      </c>
      <c r="BF311" t="str">
        <f t="shared" si="58"/>
        <v>Off</v>
      </c>
      <c r="BG311" t="str">
        <f t="shared" si="58"/>
        <v>Off</v>
      </c>
      <c r="BH311" t="str">
        <f t="shared" si="58"/>
        <v>Off</v>
      </c>
      <c r="BI311" t="str">
        <f t="shared" si="58"/>
        <v>Off</v>
      </c>
      <c r="BJ311" t="str">
        <f t="shared" si="59"/>
        <v>Off</v>
      </c>
      <c r="BK311" t="str">
        <f t="shared" si="59"/>
        <v>Off</v>
      </c>
      <c r="BL311" t="str">
        <f t="shared" si="59"/>
        <v>Off</v>
      </c>
      <c r="BM311" t="str">
        <f t="shared" si="59"/>
        <v>Off</v>
      </c>
      <c r="BN311" t="str">
        <f t="shared" si="59"/>
        <v>Off</v>
      </c>
      <c r="BO311" t="str">
        <f t="shared" si="59"/>
        <v>Off</v>
      </c>
      <c r="BP311" t="str">
        <f t="shared" si="59"/>
        <v>Off</v>
      </c>
      <c r="BQ311" t="str">
        <f t="shared" si="59"/>
        <v>Off</v>
      </c>
      <c r="BR311" t="str">
        <f t="shared" si="59"/>
        <v>Off</v>
      </c>
      <c r="BS311" t="str">
        <f t="shared" si="59"/>
        <v>Off</v>
      </c>
      <c r="BT311" t="str">
        <f t="shared" si="60"/>
        <v>Off</v>
      </c>
      <c r="BU311" t="str">
        <f t="shared" si="60"/>
        <v>Off</v>
      </c>
      <c r="BV311" t="str">
        <f t="shared" si="60"/>
        <v>Off</v>
      </c>
      <c r="BW311" t="str">
        <f t="shared" si="60"/>
        <v>Off</v>
      </c>
      <c r="BX311" t="str">
        <f t="shared" si="60"/>
        <v>Off</v>
      </c>
      <c r="BY311" t="str">
        <f t="shared" si="60"/>
        <v>Off</v>
      </c>
      <c r="BZ311" t="str">
        <f t="shared" si="60"/>
        <v>Off</v>
      </c>
      <c r="CA311" t="str">
        <f t="shared" si="60"/>
        <v>Off</v>
      </c>
      <c r="CB311" t="str">
        <f t="shared" si="60"/>
        <v>Off</v>
      </c>
      <c r="CC311" t="str">
        <f t="shared" si="60"/>
        <v>Off</v>
      </c>
      <c r="CD311" t="str">
        <f t="shared" si="61"/>
        <v>Off</v>
      </c>
      <c r="CE311" t="str">
        <f t="shared" si="61"/>
        <v>Off</v>
      </c>
      <c r="CF311" t="str">
        <f t="shared" si="61"/>
        <v>Off</v>
      </c>
      <c r="CG311" t="str">
        <f t="shared" si="61"/>
        <v>Off</v>
      </c>
      <c r="CH311" t="str">
        <f t="shared" si="61"/>
        <v>Off</v>
      </c>
      <c r="CI311" t="str">
        <f t="shared" si="61"/>
        <v>Off</v>
      </c>
      <c r="CJ311" t="str">
        <f t="shared" si="61"/>
        <v>Off</v>
      </c>
      <c r="CK311" t="str">
        <f t="shared" si="61"/>
        <v>Off</v>
      </c>
      <c r="CL311" t="str">
        <f t="shared" si="61"/>
        <v>Off</v>
      </c>
      <c r="CM311" t="str">
        <f t="shared" si="61"/>
        <v>Off</v>
      </c>
      <c r="CN311" t="str">
        <f t="shared" si="62"/>
        <v>Off</v>
      </c>
      <c r="CO311" t="str">
        <f t="shared" si="62"/>
        <v>Off</v>
      </c>
      <c r="CP311" t="str">
        <f t="shared" si="62"/>
        <v>Off</v>
      </c>
      <c r="CQ311" t="str">
        <f t="shared" si="62"/>
        <v>Off</v>
      </c>
      <c r="CR311" t="str">
        <f t="shared" si="62"/>
        <v>Off</v>
      </c>
      <c r="CS311" t="str">
        <f t="shared" si="62"/>
        <v>Off</v>
      </c>
      <c r="CT311" t="str">
        <f t="shared" si="62"/>
        <v>Off</v>
      </c>
      <c r="CU311" t="str">
        <f t="shared" si="62"/>
        <v>Off</v>
      </c>
      <c r="CV311" t="str">
        <f t="shared" si="62"/>
        <v>Off</v>
      </c>
      <c r="CW311" t="str">
        <f t="shared" si="62"/>
        <v>Off</v>
      </c>
    </row>
    <row r="312" spans="1:101">
      <c r="A312">
        <v>22</v>
      </c>
      <c r="B312" t="str">
        <f t="shared" ref="B312:D325" si="66">"On"</f>
        <v>On</v>
      </c>
      <c r="C312" t="str">
        <f t="shared" si="66"/>
        <v>On</v>
      </c>
      <c r="D312" t="str">
        <f t="shared" si="66"/>
        <v>On</v>
      </c>
      <c r="E312" t="str">
        <f t="shared" si="50"/>
        <v>Off</v>
      </c>
      <c r="F312" t="str">
        <f t="shared" ref="F312:G324" si="67">"Off"</f>
        <v>Off</v>
      </c>
      <c r="G312" t="str">
        <f t="shared" si="67"/>
        <v>Off</v>
      </c>
      <c r="H312" t="str">
        <f t="shared" si="65"/>
        <v>Off</v>
      </c>
      <c r="I312" t="str">
        <f t="shared" si="52"/>
        <v>Off</v>
      </c>
      <c r="J312" t="str">
        <f t="shared" si="53"/>
        <v>Off</v>
      </c>
      <c r="K312" t="str">
        <f t="shared" si="63"/>
        <v>Off</v>
      </c>
      <c r="L312" t="str">
        <f t="shared" ref="L312:L318" si="68">"On"</f>
        <v>On</v>
      </c>
      <c r="M312" t="str">
        <f t="shared" ref="M312:AR312" si="69">"Off"</f>
        <v>Off</v>
      </c>
      <c r="N312" t="str">
        <f t="shared" si="69"/>
        <v>Off</v>
      </c>
      <c r="O312" t="str">
        <f t="shared" si="69"/>
        <v>Off</v>
      </c>
      <c r="P312" t="str">
        <f t="shared" si="69"/>
        <v>Off</v>
      </c>
      <c r="Q312" t="str">
        <f t="shared" si="69"/>
        <v>Off</v>
      </c>
      <c r="R312" t="str">
        <f t="shared" si="69"/>
        <v>Off</v>
      </c>
      <c r="S312" t="str">
        <f t="shared" si="69"/>
        <v>Off</v>
      </c>
      <c r="T312" t="str">
        <f t="shared" si="69"/>
        <v>Off</v>
      </c>
      <c r="U312" t="str">
        <f t="shared" si="69"/>
        <v>Off</v>
      </c>
      <c r="V312" t="str">
        <f t="shared" si="69"/>
        <v>Off</v>
      </c>
      <c r="W312" t="str">
        <f t="shared" si="69"/>
        <v>Off</v>
      </c>
      <c r="X312" t="str">
        <f t="shared" si="69"/>
        <v>Off</v>
      </c>
      <c r="Y312" t="str">
        <f t="shared" si="69"/>
        <v>Off</v>
      </c>
      <c r="Z312" t="str">
        <f t="shared" si="69"/>
        <v>Off</v>
      </c>
      <c r="AA312" t="str">
        <f t="shared" si="69"/>
        <v>Off</v>
      </c>
      <c r="AB312" t="str">
        <f t="shared" si="69"/>
        <v>Off</v>
      </c>
      <c r="AC312" t="str">
        <f t="shared" si="69"/>
        <v>Off</v>
      </c>
      <c r="AD312" t="str">
        <f t="shared" si="69"/>
        <v>Off</v>
      </c>
      <c r="AE312" t="str">
        <f t="shared" si="69"/>
        <v>Off</v>
      </c>
      <c r="AF312" t="str">
        <f t="shared" si="69"/>
        <v>Off</v>
      </c>
      <c r="AG312" t="str">
        <f t="shared" si="69"/>
        <v>Off</v>
      </c>
      <c r="AH312" t="str">
        <f t="shared" si="69"/>
        <v>Off</v>
      </c>
      <c r="AI312" t="str">
        <f t="shared" si="69"/>
        <v>Off</v>
      </c>
      <c r="AJ312" t="str">
        <f t="shared" si="69"/>
        <v>Off</v>
      </c>
      <c r="AK312" t="str">
        <f t="shared" si="69"/>
        <v>Off</v>
      </c>
      <c r="AL312" t="str">
        <f t="shared" si="69"/>
        <v>Off</v>
      </c>
      <c r="AM312" t="str">
        <f t="shared" si="69"/>
        <v>Off</v>
      </c>
      <c r="AN312" t="str">
        <f t="shared" si="69"/>
        <v>Off</v>
      </c>
      <c r="AO312" t="str">
        <f t="shared" si="69"/>
        <v>Off</v>
      </c>
      <c r="AP312" t="str">
        <f t="shared" si="69"/>
        <v>Off</v>
      </c>
      <c r="AQ312" t="str">
        <f t="shared" si="69"/>
        <v>Off</v>
      </c>
      <c r="AR312" t="str">
        <f t="shared" si="69"/>
        <v>Off</v>
      </c>
      <c r="AS312" t="str">
        <f t="shared" ref="AS312:BX312" si="70">"Off"</f>
        <v>Off</v>
      </c>
      <c r="AT312" t="str">
        <f t="shared" si="70"/>
        <v>Off</v>
      </c>
      <c r="AU312" t="str">
        <f t="shared" si="70"/>
        <v>Off</v>
      </c>
      <c r="AV312" t="str">
        <f t="shared" si="70"/>
        <v>Off</v>
      </c>
      <c r="AW312" t="str">
        <f t="shared" si="70"/>
        <v>Off</v>
      </c>
      <c r="AX312" t="str">
        <f t="shared" si="70"/>
        <v>Off</v>
      </c>
      <c r="AY312" t="str">
        <f t="shared" si="70"/>
        <v>Off</v>
      </c>
      <c r="AZ312" t="str">
        <f t="shared" si="70"/>
        <v>Off</v>
      </c>
      <c r="BA312" t="str">
        <f t="shared" si="70"/>
        <v>Off</v>
      </c>
      <c r="BB312" t="str">
        <f t="shared" si="70"/>
        <v>Off</v>
      </c>
      <c r="BC312" t="str">
        <f t="shared" si="70"/>
        <v>Off</v>
      </c>
      <c r="BD312" t="str">
        <f t="shared" si="70"/>
        <v>Off</v>
      </c>
      <c r="BE312" t="str">
        <f t="shared" si="70"/>
        <v>Off</v>
      </c>
      <c r="BF312" t="str">
        <f t="shared" si="70"/>
        <v>Off</v>
      </c>
      <c r="BG312" t="str">
        <f t="shared" si="70"/>
        <v>Off</v>
      </c>
      <c r="BH312" t="str">
        <f t="shared" si="70"/>
        <v>Off</v>
      </c>
      <c r="BI312" t="str">
        <f t="shared" si="70"/>
        <v>Off</v>
      </c>
      <c r="BJ312" t="str">
        <f t="shared" si="70"/>
        <v>Off</v>
      </c>
      <c r="BK312" t="str">
        <f t="shared" si="70"/>
        <v>Off</v>
      </c>
      <c r="BL312" t="str">
        <f t="shared" si="70"/>
        <v>Off</v>
      </c>
      <c r="BM312" t="str">
        <f t="shared" si="70"/>
        <v>Off</v>
      </c>
      <c r="BN312" t="str">
        <f t="shared" si="70"/>
        <v>Off</v>
      </c>
      <c r="BO312" t="str">
        <f t="shared" si="70"/>
        <v>Off</v>
      </c>
      <c r="BP312" t="str">
        <f t="shared" si="70"/>
        <v>Off</v>
      </c>
      <c r="BQ312" t="str">
        <f t="shared" si="70"/>
        <v>Off</v>
      </c>
      <c r="BR312" t="str">
        <f t="shared" si="70"/>
        <v>Off</v>
      </c>
      <c r="BS312" t="str">
        <f t="shared" si="70"/>
        <v>Off</v>
      </c>
      <c r="BT312" t="str">
        <f t="shared" si="70"/>
        <v>Off</v>
      </c>
      <c r="BU312" t="str">
        <f t="shared" si="70"/>
        <v>Off</v>
      </c>
      <c r="BV312" t="str">
        <f t="shared" si="70"/>
        <v>Off</v>
      </c>
      <c r="BW312" t="str">
        <f t="shared" si="70"/>
        <v>Off</v>
      </c>
      <c r="BX312" t="str">
        <f t="shared" si="70"/>
        <v>Off</v>
      </c>
      <c r="BY312" t="str">
        <f t="shared" ref="BY312:CW312" si="71">"Off"</f>
        <v>Off</v>
      </c>
      <c r="BZ312" t="str">
        <f t="shared" si="71"/>
        <v>Off</v>
      </c>
      <c r="CA312" t="str">
        <f t="shared" si="71"/>
        <v>Off</v>
      </c>
      <c r="CB312" t="str">
        <f t="shared" si="71"/>
        <v>Off</v>
      </c>
      <c r="CC312" t="str">
        <f t="shared" si="71"/>
        <v>Off</v>
      </c>
      <c r="CD312" t="str">
        <f t="shared" si="71"/>
        <v>Off</v>
      </c>
      <c r="CE312" t="str">
        <f t="shared" si="71"/>
        <v>Off</v>
      </c>
      <c r="CF312" t="str">
        <f t="shared" si="71"/>
        <v>Off</v>
      </c>
      <c r="CG312" t="str">
        <f t="shared" si="71"/>
        <v>Off</v>
      </c>
      <c r="CH312" t="str">
        <f t="shared" si="71"/>
        <v>Off</v>
      </c>
      <c r="CI312" t="str">
        <f t="shared" si="71"/>
        <v>Off</v>
      </c>
      <c r="CJ312" t="str">
        <f t="shared" si="71"/>
        <v>Off</v>
      </c>
      <c r="CK312" t="str">
        <f t="shared" si="71"/>
        <v>Off</v>
      </c>
      <c r="CL312" t="str">
        <f t="shared" si="71"/>
        <v>Off</v>
      </c>
      <c r="CM312" t="str">
        <f t="shared" si="71"/>
        <v>Off</v>
      </c>
      <c r="CN312" t="str">
        <f t="shared" si="71"/>
        <v>Off</v>
      </c>
      <c r="CO312" t="str">
        <f t="shared" si="71"/>
        <v>Off</v>
      </c>
      <c r="CP312" t="str">
        <f t="shared" si="71"/>
        <v>Off</v>
      </c>
      <c r="CQ312" t="str">
        <f t="shared" si="71"/>
        <v>Off</v>
      </c>
      <c r="CR312" t="str">
        <f t="shared" si="71"/>
        <v>Off</v>
      </c>
      <c r="CS312" t="str">
        <f t="shared" si="71"/>
        <v>Off</v>
      </c>
      <c r="CT312" t="str">
        <f t="shared" si="71"/>
        <v>Off</v>
      </c>
      <c r="CU312" t="str">
        <f t="shared" si="71"/>
        <v>Off</v>
      </c>
      <c r="CV312" t="str">
        <f t="shared" si="71"/>
        <v>Off</v>
      </c>
      <c r="CW312" t="str">
        <f t="shared" si="71"/>
        <v>Off</v>
      </c>
    </row>
    <row r="313" spans="1:101">
      <c r="A313">
        <v>23</v>
      </c>
      <c r="B313" t="str">
        <f t="shared" si="66"/>
        <v>On</v>
      </c>
      <c r="C313" t="str">
        <f t="shared" si="66"/>
        <v>On</v>
      </c>
      <c r="D313" t="str">
        <f t="shared" si="66"/>
        <v>On</v>
      </c>
      <c r="E313" t="str">
        <f t="shared" si="50"/>
        <v>Off</v>
      </c>
      <c r="F313" t="str">
        <f t="shared" si="67"/>
        <v>Off</v>
      </c>
      <c r="G313" t="str">
        <f t="shared" si="67"/>
        <v>Off</v>
      </c>
      <c r="H313" t="str">
        <f t="shared" si="65"/>
        <v>Off</v>
      </c>
      <c r="I313" t="str">
        <f t="shared" si="52"/>
        <v>Off</v>
      </c>
      <c r="J313" t="str">
        <f t="shared" si="53"/>
        <v>Off</v>
      </c>
      <c r="K313" t="str">
        <f t="shared" si="63"/>
        <v>Off</v>
      </c>
      <c r="L313" t="str">
        <f t="shared" si="68"/>
        <v>On</v>
      </c>
      <c r="M313" t="str">
        <f t="shared" ref="M313:M319" si="72">"On"</f>
        <v>On</v>
      </c>
      <c r="N313" t="str">
        <f t="shared" ref="N313:W314" si="73">"Off"</f>
        <v>Off</v>
      </c>
      <c r="O313" t="str">
        <f t="shared" si="73"/>
        <v>Off</v>
      </c>
      <c r="P313" t="str">
        <f t="shared" si="73"/>
        <v>Off</v>
      </c>
      <c r="Q313" t="str">
        <f t="shared" si="73"/>
        <v>Off</v>
      </c>
      <c r="R313" t="str">
        <f t="shared" si="73"/>
        <v>Off</v>
      </c>
      <c r="S313" t="str">
        <f t="shared" si="73"/>
        <v>Off</v>
      </c>
      <c r="T313" t="str">
        <f t="shared" si="73"/>
        <v>Off</v>
      </c>
      <c r="U313" t="str">
        <f t="shared" si="73"/>
        <v>Off</v>
      </c>
      <c r="V313" t="str">
        <f t="shared" si="73"/>
        <v>Off</v>
      </c>
      <c r="W313" t="str">
        <f t="shared" si="73"/>
        <v>Off</v>
      </c>
      <c r="X313" t="str">
        <f t="shared" ref="X313:AG314" si="74">"Off"</f>
        <v>Off</v>
      </c>
      <c r="Y313" t="str">
        <f t="shared" si="74"/>
        <v>Off</v>
      </c>
      <c r="Z313" t="str">
        <f t="shared" si="74"/>
        <v>Off</v>
      </c>
      <c r="AA313" t="str">
        <f t="shared" si="74"/>
        <v>Off</v>
      </c>
      <c r="AB313" t="str">
        <f t="shared" si="74"/>
        <v>Off</v>
      </c>
      <c r="AC313" t="str">
        <f t="shared" si="74"/>
        <v>Off</v>
      </c>
      <c r="AD313" t="str">
        <f t="shared" si="74"/>
        <v>Off</v>
      </c>
      <c r="AE313" t="str">
        <f t="shared" si="74"/>
        <v>Off</v>
      </c>
      <c r="AF313" t="str">
        <f t="shared" si="74"/>
        <v>Off</v>
      </c>
      <c r="AG313" t="str">
        <f t="shared" si="74"/>
        <v>Off</v>
      </c>
      <c r="AH313" t="str">
        <f t="shared" ref="AH313:AQ314" si="75">"Off"</f>
        <v>Off</v>
      </c>
      <c r="AI313" t="str">
        <f t="shared" si="75"/>
        <v>Off</v>
      </c>
      <c r="AJ313" t="str">
        <f t="shared" si="75"/>
        <v>Off</v>
      </c>
      <c r="AK313" t="str">
        <f t="shared" si="75"/>
        <v>Off</v>
      </c>
      <c r="AL313" t="str">
        <f t="shared" si="75"/>
        <v>Off</v>
      </c>
      <c r="AM313" t="str">
        <f t="shared" si="75"/>
        <v>Off</v>
      </c>
      <c r="AN313" t="str">
        <f t="shared" si="75"/>
        <v>Off</v>
      </c>
      <c r="AO313" t="str">
        <f t="shared" si="75"/>
        <v>Off</v>
      </c>
      <c r="AP313" t="str">
        <f t="shared" si="75"/>
        <v>Off</v>
      </c>
      <c r="AQ313" t="str">
        <f t="shared" si="75"/>
        <v>Off</v>
      </c>
      <c r="AR313" t="str">
        <f t="shared" ref="AR313:BA314" si="76">"Off"</f>
        <v>Off</v>
      </c>
      <c r="AS313" t="str">
        <f t="shared" si="76"/>
        <v>Off</v>
      </c>
      <c r="AT313" t="str">
        <f t="shared" si="76"/>
        <v>Off</v>
      </c>
      <c r="AU313" t="str">
        <f t="shared" si="76"/>
        <v>Off</v>
      </c>
      <c r="AV313" t="str">
        <f t="shared" si="76"/>
        <v>Off</v>
      </c>
      <c r="AW313" t="str">
        <f t="shared" si="76"/>
        <v>Off</v>
      </c>
      <c r="AX313" t="str">
        <f t="shared" si="76"/>
        <v>Off</v>
      </c>
      <c r="AY313" t="str">
        <f t="shared" si="76"/>
        <v>Off</v>
      </c>
      <c r="AZ313" t="str">
        <f t="shared" si="76"/>
        <v>Off</v>
      </c>
      <c r="BA313" t="str">
        <f t="shared" si="76"/>
        <v>Off</v>
      </c>
      <c r="BB313" t="str">
        <f t="shared" ref="BB313:BK314" si="77">"Off"</f>
        <v>Off</v>
      </c>
      <c r="BC313" t="str">
        <f t="shared" si="77"/>
        <v>Off</v>
      </c>
      <c r="BD313" t="str">
        <f t="shared" si="77"/>
        <v>Off</v>
      </c>
      <c r="BE313" t="str">
        <f t="shared" si="77"/>
        <v>Off</v>
      </c>
      <c r="BF313" t="str">
        <f t="shared" si="77"/>
        <v>Off</v>
      </c>
      <c r="BG313" t="str">
        <f t="shared" si="77"/>
        <v>Off</v>
      </c>
      <c r="BH313" t="str">
        <f t="shared" si="77"/>
        <v>Off</v>
      </c>
      <c r="BI313" t="str">
        <f t="shared" si="77"/>
        <v>Off</v>
      </c>
      <c r="BJ313" t="str">
        <f t="shared" si="77"/>
        <v>Off</v>
      </c>
      <c r="BK313" t="str">
        <f t="shared" si="77"/>
        <v>Off</v>
      </c>
      <c r="BL313" t="str">
        <f t="shared" ref="BL313:BU314" si="78">"Off"</f>
        <v>Off</v>
      </c>
      <c r="BM313" t="str">
        <f t="shared" si="78"/>
        <v>Off</v>
      </c>
      <c r="BN313" t="str">
        <f t="shared" si="78"/>
        <v>Off</v>
      </c>
      <c r="BO313" t="str">
        <f t="shared" si="78"/>
        <v>Off</v>
      </c>
      <c r="BP313" t="str">
        <f t="shared" si="78"/>
        <v>Off</v>
      </c>
      <c r="BQ313" t="str">
        <f t="shared" si="78"/>
        <v>Off</v>
      </c>
      <c r="BR313" t="str">
        <f t="shared" si="78"/>
        <v>Off</v>
      </c>
      <c r="BS313" t="str">
        <f t="shared" si="78"/>
        <v>Off</v>
      </c>
      <c r="BT313" t="str">
        <f t="shared" si="78"/>
        <v>Off</v>
      </c>
      <c r="BU313" t="str">
        <f t="shared" si="78"/>
        <v>Off</v>
      </c>
      <c r="BV313" t="str">
        <f t="shared" ref="BV313:CE314" si="79">"Off"</f>
        <v>Off</v>
      </c>
      <c r="BW313" t="str">
        <f t="shared" si="79"/>
        <v>Off</v>
      </c>
      <c r="BX313" t="str">
        <f t="shared" si="79"/>
        <v>Off</v>
      </c>
      <c r="BY313" t="str">
        <f t="shared" si="79"/>
        <v>Off</v>
      </c>
      <c r="BZ313" t="str">
        <f t="shared" si="79"/>
        <v>Off</v>
      </c>
      <c r="CA313" t="str">
        <f t="shared" si="79"/>
        <v>Off</v>
      </c>
      <c r="CB313" t="str">
        <f t="shared" si="79"/>
        <v>Off</v>
      </c>
      <c r="CC313" t="str">
        <f t="shared" si="79"/>
        <v>Off</v>
      </c>
      <c r="CD313" t="str">
        <f t="shared" si="79"/>
        <v>Off</v>
      </c>
      <c r="CE313" t="str">
        <f t="shared" si="79"/>
        <v>Off</v>
      </c>
      <c r="CF313" t="str">
        <f t="shared" ref="CF313:CO314" si="80">"Off"</f>
        <v>Off</v>
      </c>
      <c r="CG313" t="str">
        <f t="shared" si="80"/>
        <v>Off</v>
      </c>
      <c r="CH313" t="str">
        <f t="shared" si="80"/>
        <v>Off</v>
      </c>
      <c r="CI313" t="str">
        <f t="shared" si="80"/>
        <v>Off</v>
      </c>
      <c r="CJ313" t="str">
        <f t="shared" si="80"/>
        <v>Off</v>
      </c>
      <c r="CK313" t="str">
        <f t="shared" si="80"/>
        <v>Off</v>
      </c>
      <c r="CL313" t="str">
        <f t="shared" si="80"/>
        <v>Off</v>
      </c>
      <c r="CM313" t="str">
        <f t="shared" si="80"/>
        <v>Off</v>
      </c>
      <c r="CN313" t="str">
        <f t="shared" si="80"/>
        <v>Off</v>
      </c>
      <c r="CO313" t="str">
        <f t="shared" si="80"/>
        <v>Off</v>
      </c>
      <c r="CP313" t="str">
        <f t="shared" ref="CP313:CW314" si="81">"Off"</f>
        <v>Off</v>
      </c>
      <c r="CQ313" t="str">
        <f t="shared" si="81"/>
        <v>Off</v>
      </c>
      <c r="CR313" t="str">
        <f t="shared" si="81"/>
        <v>Off</v>
      </c>
      <c r="CS313" t="str">
        <f t="shared" si="81"/>
        <v>Off</v>
      </c>
      <c r="CT313" t="str">
        <f t="shared" si="81"/>
        <v>Off</v>
      </c>
      <c r="CU313" t="str">
        <f t="shared" si="81"/>
        <v>Off</v>
      </c>
      <c r="CV313" t="str">
        <f t="shared" si="81"/>
        <v>Off</v>
      </c>
      <c r="CW313" t="str">
        <f t="shared" si="81"/>
        <v>Off</v>
      </c>
    </row>
    <row r="314" spans="1:101">
      <c r="A314">
        <v>24</v>
      </c>
      <c r="B314" t="str">
        <f t="shared" si="66"/>
        <v>On</v>
      </c>
      <c r="C314" t="str">
        <f t="shared" si="66"/>
        <v>On</v>
      </c>
      <c r="D314" t="str">
        <f t="shared" si="66"/>
        <v>On</v>
      </c>
      <c r="E314" t="str">
        <f t="shared" si="50"/>
        <v>Off</v>
      </c>
      <c r="F314" t="str">
        <f t="shared" si="67"/>
        <v>Off</v>
      </c>
      <c r="G314" t="str">
        <f t="shared" si="67"/>
        <v>Off</v>
      </c>
      <c r="H314" t="str">
        <f t="shared" si="65"/>
        <v>Off</v>
      </c>
      <c r="I314" t="str">
        <f t="shared" si="52"/>
        <v>Off</v>
      </c>
      <c r="J314" t="str">
        <f t="shared" si="53"/>
        <v>Off</v>
      </c>
      <c r="K314" t="str">
        <f t="shared" si="63"/>
        <v>Off</v>
      </c>
      <c r="L314" t="str">
        <f t="shared" si="68"/>
        <v>On</v>
      </c>
      <c r="M314" t="str">
        <f t="shared" si="72"/>
        <v>On</v>
      </c>
      <c r="N314" t="str">
        <f t="shared" si="73"/>
        <v>Off</v>
      </c>
      <c r="O314" t="str">
        <f t="shared" si="73"/>
        <v>Off</v>
      </c>
      <c r="P314" t="str">
        <f t="shared" si="73"/>
        <v>Off</v>
      </c>
      <c r="Q314" t="str">
        <f t="shared" si="73"/>
        <v>Off</v>
      </c>
      <c r="R314" t="str">
        <f t="shared" si="73"/>
        <v>Off</v>
      </c>
      <c r="S314" t="str">
        <f t="shared" si="73"/>
        <v>Off</v>
      </c>
      <c r="T314" t="str">
        <f t="shared" si="73"/>
        <v>Off</v>
      </c>
      <c r="U314" t="str">
        <f t="shared" si="73"/>
        <v>Off</v>
      </c>
      <c r="V314" t="str">
        <f t="shared" si="73"/>
        <v>Off</v>
      </c>
      <c r="W314" t="str">
        <f t="shared" si="73"/>
        <v>Off</v>
      </c>
      <c r="X314" t="str">
        <f t="shared" si="74"/>
        <v>Off</v>
      </c>
      <c r="Y314" t="str">
        <f t="shared" si="74"/>
        <v>Off</v>
      </c>
      <c r="Z314" t="str">
        <f t="shared" si="74"/>
        <v>Off</v>
      </c>
      <c r="AA314" t="str">
        <f t="shared" si="74"/>
        <v>Off</v>
      </c>
      <c r="AB314" t="str">
        <f t="shared" si="74"/>
        <v>Off</v>
      </c>
      <c r="AC314" t="str">
        <f t="shared" si="74"/>
        <v>Off</v>
      </c>
      <c r="AD314" t="str">
        <f t="shared" si="74"/>
        <v>Off</v>
      </c>
      <c r="AE314" t="str">
        <f t="shared" si="74"/>
        <v>Off</v>
      </c>
      <c r="AF314" t="str">
        <f t="shared" si="74"/>
        <v>Off</v>
      </c>
      <c r="AG314" t="str">
        <f t="shared" si="74"/>
        <v>Off</v>
      </c>
      <c r="AH314" t="str">
        <f t="shared" si="75"/>
        <v>Off</v>
      </c>
      <c r="AI314" t="str">
        <f t="shared" si="75"/>
        <v>Off</v>
      </c>
      <c r="AJ314" t="str">
        <f t="shared" si="75"/>
        <v>Off</v>
      </c>
      <c r="AK314" t="str">
        <f t="shared" si="75"/>
        <v>Off</v>
      </c>
      <c r="AL314" t="str">
        <f t="shared" si="75"/>
        <v>Off</v>
      </c>
      <c r="AM314" t="str">
        <f t="shared" si="75"/>
        <v>Off</v>
      </c>
      <c r="AN314" t="str">
        <f t="shared" si="75"/>
        <v>Off</v>
      </c>
      <c r="AO314" t="str">
        <f t="shared" si="75"/>
        <v>Off</v>
      </c>
      <c r="AP314" t="str">
        <f t="shared" si="75"/>
        <v>Off</v>
      </c>
      <c r="AQ314" t="str">
        <f t="shared" si="75"/>
        <v>Off</v>
      </c>
      <c r="AR314" t="str">
        <f t="shared" si="76"/>
        <v>Off</v>
      </c>
      <c r="AS314" t="str">
        <f t="shared" si="76"/>
        <v>Off</v>
      </c>
      <c r="AT314" t="str">
        <f t="shared" si="76"/>
        <v>Off</v>
      </c>
      <c r="AU314" t="str">
        <f t="shared" si="76"/>
        <v>Off</v>
      </c>
      <c r="AV314" t="str">
        <f t="shared" si="76"/>
        <v>Off</v>
      </c>
      <c r="AW314" t="str">
        <f t="shared" si="76"/>
        <v>Off</v>
      </c>
      <c r="AX314" t="str">
        <f t="shared" si="76"/>
        <v>Off</v>
      </c>
      <c r="AY314" t="str">
        <f t="shared" si="76"/>
        <v>Off</v>
      </c>
      <c r="AZ314" t="str">
        <f t="shared" si="76"/>
        <v>Off</v>
      </c>
      <c r="BA314" t="str">
        <f t="shared" si="76"/>
        <v>Off</v>
      </c>
      <c r="BB314" t="str">
        <f t="shared" si="77"/>
        <v>Off</v>
      </c>
      <c r="BC314" t="str">
        <f t="shared" si="77"/>
        <v>Off</v>
      </c>
      <c r="BD314" t="str">
        <f t="shared" si="77"/>
        <v>Off</v>
      </c>
      <c r="BE314" t="str">
        <f t="shared" si="77"/>
        <v>Off</v>
      </c>
      <c r="BF314" t="str">
        <f t="shared" si="77"/>
        <v>Off</v>
      </c>
      <c r="BG314" t="str">
        <f t="shared" si="77"/>
        <v>Off</v>
      </c>
      <c r="BH314" t="str">
        <f t="shared" si="77"/>
        <v>Off</v>
      </c>
      <c r="BI314" t="str">
        <f t="shared" si="77"/>
        <v>Off</v>
      </c>
      <c r="BJ314" t="str">
        <f t="shared" si="77"/>
        <v>Off</v>
      </c>
      <c r="BK314" t="str">
        <f t="shared" si="77"/>
        <v>Off</v>
      </c>
      <c r="BL314" t="str">
        <f t="shared" si="78"/>
        <v>Off</v>
      </c>
      <c r="BM314" t="str">
        <f t="shared" si="78"/>
        <v>Off</v>
      </c>
      <c r="BN314" t="str">
        <f t="shared" si="78"/>
        <v>Off</v>
      </c>
      <c r="BO314" t="str">
        <f t="shared" si="78"/>
        <v>Off</v>
      </c>
      <c r="BP314" t="str">
        <f t="shared" si="78"/>
        <v>Off</v>
      </c>
      <c r="BQ314" t="str">
        <f t="shared" si="78"/>
        <v>Off</v>
      </c>
      <c r="BR314" t="str">
        <f t="shared" si="78"/>
        <v>Off</v>
      </c>
      <c r="BS314" t="str">
        <f t="shared" si="78"/>
        <v>Off</v>
      </c>
      <c r="BT314" t="str">
        <f t="shared" si="78"/>
        <v>Off</v>
      </c>
      <c r="BU314" t="str">
        <f t="shared" si="78"/>
        <v>Off</v>
      </c>
      <c r="BV314" t="str">
        <f t="shared" si="79"/>
        <v>Off</v>
      </c>
      <c r="BW314" t="str">
        <f t="shared" si="79"/>
        <v>Off</v>
      </c>
      <c r="BX314" t="str">
        <f t="shared" si="79"/>
        <v>Off</v>
      </c>
      <c r="BY314" t="str">
        <f t="shared" si="79"/>
        <v>Off</v>
      </c>
      <c r="BZ314" t="str">
        <f t="shared" si="79"/>
        <v>Off</v>
      </c>
      <c r="CA314" t="str">
        <f t="shared" si="79"/>
        <v>Off</v>
      </c>
      <c r="CB314" t="str">
        <f t="shared" si="79"/>
        <v>Off</v>
      </c>
      <c r="CC314" t="str">
        <f t="shared" si="79"/>
        <v>Off</v>
      </c>
      <c r="CD314" t="str">
        <f t="shared" si="79"/>
        <v>Off</v>
      </c>
      <c r="CE314" t="str">
        <f t="shared" si="79"/>
        <v>Off</v>
      </c>
      <c r="CF314" t="str">
        <f t="shared" si="80"/>
        <v>Off</v>
      </c>
      <c r="CG314" t="str">
        <f t="shared" si="80"/>
        <v>Off</v>
      </c>
      <c r="CH314" t="str">
        <f t="shared" si="80"/>
        <v>Off</v>
      </c>
      <c r="CI314" t="str">
        <f t="shared" si="80"/>
        <v>Off</v>
      </c>
      <c r="CJ314" t="str">
        <f t="shared" si="80"/>
        <v>Off</v>
      </c>
      <c r="CK314" t="str">
        <f t="shared" si="80"/>
        <v>Off</v>
      </c>
      <c r="CL314" t="str">
        <f t="shared" si="80"/>
        <v>Off</v>
      </c>
      <c r="CM314" t="str">
        <f t="shared" si="80"/>
        <v>Off</v>
      </c>
      <c r="CN314" t="str">
        <f t="shared" si="80"/>
        <v>Off</v>
      </c>
      <c r="CO314" t="str">
        <f t="shared" si="80"/>
        <v>Off</v>
      </c>
      <c r="CP314" t="str">
        <f t="shared" si="81"/>
        <v>Off</v>
      </c>
      <c r="CQ314" t="str">
        <f t="shared" si="81"/>
        <v>Off</v>
      </c>
      <c r="CR314" t="str">
        <f t="shared" si="81"/>
        <v>Off</v>
      </c>
      <c r="CS314" t="str">
        <f t="shared" si="81"/>
        <v>Off</v>
      </c>
      <c r="CT314" t="str">
        <f t="shared" si="81"/>
        <v>Off</v>
      </c>
      <c r="CU314" t="str">
        <f t="shared" si="81"/>
        <v>Off</v>
      </c>
      <c r="CV314" t="str">
        <f t="shared" si="81"/>
        <v>Off</v>
      </c>
      <c r="CW314" t="str">
        <f t="shared" si="81"/>
        <v>Off</v>
      </c>
    </row>
    <row r="315" spans="1:101">
      <c r="A315">
        <v>25</v>
      </c>
      <c r="B315" t="str">
        <f t="shared" si="66"/>
        <v>On</v>
      </c>
      <c r="C315" t="str">
        <f t="shared" si="66"/>
        <v>On</v>
      </c>
      <c r="D315" t="str">
        <f t="shared" si="66"/>
        <v>On</v>
      </c>
      <c r="E315" t="str">
        <f t="shared" si="50"/>
        <v>Off</v>
      </c>
      <c r="F315" t="str">
        <f t="shared" si="67"/>
        <v>Off</v>
      </c>
      <c r="G315" t="str">
        <f t="shared" si="67"/>
        <v>Off</v>
      </c>
      <c r="H315" t="str">
        <f t="shared" ref="H315:H321" si="82">"On"</f>
        <v>On</v>
      </c>
      <c r="I315" t="str">
        <f t="shared" si="52"/>
        <v>Off</v>
      </c>
      <c r="J315" t="str">
        <f t="shared" si="53"/>
        <v>Off</v>
      </c>
      <c r="K315" t="str">
        <f t="shared" si="63"/>
        <v>Off</v>
      </c>
      <c r="L315" t="str">
        <f t="shared" si="68"/>
        <v>On</v>
      </c>
      <c r="M315" t="str">
        <f t="shared" si="72"/>
        <v>On</v>
      </c>
      <c r="N315" t="str">
        <f>"On"</f>
        <v>On</v>
      </c>
      <c r="O315" t="str">
        <f t="shared" ref="O315:X324" si="83">"Off"</f>
        <v>Off</v>
      </c>
      <c r="P315" t="str">
        <f t="shared" si="83"/>
        <v>Off</v>
      </c>
      <c r="Q315" t="str">
        <f t="shared" si="83"/>
        <v>Off</v>
      </c>
      <c r="R315" t="str">
        <f t="shared" si="83"/>
        <v>Off</v>
      </c>
      <c r="S315" t="str">
        <f t="shared" si="83"/>
        <v>Off</v>
      </c>
      <c r="T315" t="str">
        <f t="shared" si="83"/>
        <v>Off</v>
      </c>
      <c r="U315" t="str">
        <f t="shared" si="83"/>
        <v>Off</v>
      </c>
      <c r="V315" t="str">
        <f t="shared" si="83"/>
        <v>Off</v>
      </c>
      <c r="W315" t="str">
        <f t="shared" si="83"/>
        <v>Off</v>
      </c>
      <c r="X315" t="str">
        <f t="shared" si="83"/>
        <v>Off</v>
      </c>
      <c r="Y315" t="str">
        <f t="shared" ref="Y315:AH324" si="84">"Off"</f>
        <v>Off</v>
      </c>
      <c r="Z315" t="str">
        <f t="shared" si="84"/>
        <v>Off</v>
      </c>
      <c r="AA315" t="str">
        <f t="shared" si="84"/>
        <v>Off</v>
      </c>
      <c r="AB315" t="str">
        <f t="shared" si="84"/>
        <v>Off</v>
      </c>
      <c r="AC315" t="str">
        <f t="shared" si="84"/>
        <v>Off</v>
      </c>
      <c r="AD315" t="str">
        <f t="shared" si="84"/>
        <v>Off</v>
      </c>
      <c r="AE315" t="str">
        <f t="shared" si="84"/>
        <v>Off</v>
      </c>
      <c r="AF315" t="str">
        <f t="shared" si="84"/>
        <v>Off</v>
      </c>
      <c r="AG315" t="str">
        <f t="shared" si="84"/>
        <v>Off</v>
      </c>
      <c r="AH315" t="str">
        <f t="shared" si="84"/>
        <v>Off</v>
      </c>
      <c r="AI315" t="str">
        <f t="shared" ref="AI315:AR324" si="85">"Off"</f>
        <v>Off</v>
      </c>
      <c r="AJ315" t="str">
        <f t="shared" si="85"/>
        <v>Off</v>
      </c>
      <c r="AK315" t="str">
        <f t="shared" si="85"/>
        <v>Off</v>
      </c>
      <c r="AL315" t="str">
        <f t="shared" si="85"/>
        <v>Off</v>
      </c>
      <c r="AM315" t="str">
        <f t="shared" si="85"/>
        <v>Off</v>
      </c>
      <c r="AN315" t="str">
        <f t="shared" si="85"/>
        <v>Off</v>
      </c>
      <c r="AO315" t="str">
        <f t="shared" si="85"/>
        <v>Off</v>
      </c>
      <c r="AP315" t="str">
        <f t="shared" si="85"/>
        <v>Off</v>
      </c>
      <c r="AQ315" t="str">
        <f t="shared" si="85"/>
        <v>Off</v>
      </c>
      <c r="AR315" t="str">
        <f t="shared" si="85"/>
        <v>Off</v>
      </c>
      <c r="AS315" t="str">
        <f t="shared" ref="AS315:BB324" si="86">"Off"</f>
        <v>Off</v>
      </c>
      <c r="AT315" t="str">
        <f t="shared" si="86"/>
        <v>Off</v>
      </c>
      <c r="AU315" t="str">
        <f t="shared" si="86"/>
        <v>Off</v>
      </c>
      <c r="AV315" t="str">
        <f t="shared" si="86"/>
        <v>Off</v>
      </c>
      <c r="AW315" t="str">
        <f t="shared" si="86"/>
        <v>Off</v>
      </c>
      <c r="AX315" t="str">
        <f t="shared" si="86"/>
        <v>Off</v>
      </c>
      <c r="AY315" t="str">
        <f t="shared" si="86"/>
        <v>Off</v>
      </c>
      <c r="AZ315" t="str">
        <f t="shared" si="86"/>
        <v>Off</v>
      </c>
      <c r="BA315" t="str">
        <f t="shared" si="86"/>
        <v>Off</v>
      </c>
      <c r="BB315" t="str">
        <f t="shared" si="86"/>
        <v>Off</v>
      </c>
      <c r="BC315" t="str">
        <f t="shared" ref="BC315:BL324" si="87">"Off"</f>
        <v>Off</v>
      </c>
      <c r="BD315" t="str">
        <f t="shared" si="87"/>
        <v>Off</v>
      </c>
      <c r="BE315" t="str">
        <f t="shared" si="87"/>
        <v>Off</v>
      </c>
      <c r="BF315" t="str">
        <f t="shared" si="87"/>
        <v>Off</v>
      </c>
      <c r="BG315" t="str">
        <f t="shared" si="87"/>
        <v>Off</v>
      </c>
      <c r="BH315" t="str">
        <f t="shared" si="87"/>
        <v>Off</v>
      </c>
      <c r="BI315" t="str">
        <f t="shared" si="87"/>
        <v>Off</v>
      </c>
      <c r="BJ315" t="str">
        <f t="shared" si="87"/>
        <v>Off</v>
      </c>
      <c r="BK315" t="str">
        <f t="shared" si="87"/>
        <v>Off</v>
      </c>
      <c r="BL315" t="str">
        <f t="shared" si="87"/>
        <v>Off</v>
      </c>
      <c r="BM315" t="str">
        <f t="shared" ref="BM315:BV324" si="88">"Off"</f>
        <v>Off</v>
      </c>
      <c r="BN315" t="str">
        <f t="shared" si="88"/>
        <v>Off</v>
      </c>
      <c r="BO315" t="str">
        <f t="shared" si="88"/>
        <v>Off</v>
      </c>
      <c r="BP315" t="str">
        <f t="shared" si="88"/>
        <v>Off</v>
      </c>
      <c r="BQ315" t="str">
        <f t="shared" si="88"/>
        <v>Off</v>
      </c>
      <c r="BR315" t="str">
        <f t="shared" si="88"/>
        <v>Off</v>
      </c>
      <c r="BS315" t="str">
        <f t="shared" si="88"/>
        <v>Off</v>
      </c>
      <c r="BT315" t="str">
        <f t="shared" si="88"/>
        <v>Off</v>
      </c>
      <c r="BU315" t="str">
        <f t="shared" si="88"/>
        <v>Off</v>
      </c>
      <c r="BV315" t="str">
        <f t="shared" si="88"/>
        <v>Off</v>
      </c>
      <c r="BW315" t="str">
        <f t="shared" ref="BW315:CF324" si="89">"Off"</f>
        <v>Off</v>
      </c>
      <c r="BX315" t="str">
        <f t="shared" si="89"/>
        <v>Off</v>
      </c>
      <c r="BY315" t="str">
        <f t="shared" si="89"/>
        <v>Off</v>
      </c>
      <c r="BZ315" t="str">
        <f t="shared" si="89"/>
        <v>Off</v>
      </c>
      <c r="CA315" t="str">
        <f t="shared" si="89"/>
        <v>Off</v>
      </c>
      <c r="CB315" t="str">
        <f t="shared" si="89"/>
        <v>Off</v>
      </c>
      <c r="CC315" t="str">
        <f t="shared" si="89"/>
        <v>Off</v>
      </c>
      <c r="CD315" t="str">
        <f t="shared" si="89"/>
        <v>Off</v>
      </c>
      <c r="CE315" t="str">
        <f t="shared" si="89"/>
        <v>Off</v>
      </c>
      <c r="CF315" t="str">
        <f t="shared" si="89"/>
        <v>Off</v>
      </c>
      <c r="CG315" t="str">
        <f t="shared" ref="CG315:CP324" si="90">"Off"</f>
        <v>Off</v>
      </c>
      <c r="CH315" t="str">
        <f t="shared" si="90"/>
        <v>Off</v>
      </c>
      <c r="CI315" t="str">
        <f t="shared" si="90"/>
        <v>Off</v>
      </c>
      <c r="CJ315" t="str">
        <f t="shared" si="90"/>
        <v>Off</v>
      </c>
      <c r="CK315" t="str">
        <f t="shared" si="90"/>
        <v>Off</v>
      </c>
      <c r="CL315" t="str">
        <f t="shared" si="90"/>
        <v>Off</v>
      </c>
      <c r="CM315" t="str">
        <f t="shared" si="90"/>
        <v>Off</v>
      </c>
      <c r="CN315" t="str">
        <f t="shared" si="90"/>
        <v>Off</v>
      </c>
      <c r="CO315" t="str">
        <f t="shared" si="90"/>
        <v>Off</v>
      </c>
      <c r="CP315" t="str">
        <f t="shared" si="90"/>
        <v>Off</v>
      </c>
      <c r="CQ315" t="str">
        <f t="shared" ref="CQ315:CW324" si="91">"Off"</f>
        <v>Off</v>
      </c>
      <c r="CR315" t="str">
        <f t="shared" si="91"/>
        <v>Off</v>
      </c>
      <c r="CS315" t="str">
        <f t="shared" si="91"/>
        <v>Off</v>
      </c>
      <c r="CT315" t="str">
        <f t="shared" si="91"/>
        <v>Off</v>
      </c>
      <c r="CU315" t="str">
        <f t="shared" si="91"/>
        <v>Off</v>
      </c>
      <c r="CV315" t="str">
        <f t="shared" si="91"/>
        <v>Off</v>
      </c>
      <c r="CW315" t="str">
        <f t="shared" si="91"/>
        <v>Off</v>
      </c>
    </row>
    <row r="316" spans="1:101">
      <c r="A316">
        <v>26</v>
      </c>
      <c r="B316" t="str">
        <f t="shared" si="66"/>
        <v>On</v>
      </c>
      <c r="C316" t="str">
        <f t="shared" si="66"/>
        <v>On</v>
      </c>
      <c r="D316" t="str">
        <f t="shared" si="66"/>
        <v>On</v>
      </c>
      <c r="E316" t="str">
        <f t="shared" si="50"/>
        <v>Off</v>
      </c>
      <c r="F316" t="str">
        <f t="shared" si="67"/>
        <v>Off</v>
      </c>
      <c r="G316" t="str">
        <f t="shared" si="67"/>
        <v>Off</v>
      </c>
      <c r="H316" t="str">
        <f t="shared" si="82"/>
        <v>On</v>
      </c>
      <c r="I316" t="str">
        <f t="shared" si="52"/>
        <v>Off</v>
      </c>
      <c r="J316" t="str">
        <f t="shared" si="53"/>
        <v>Off</v>
      </c>
      <c r="K316" t="str">
        <f t="shared" si="63"/>
        <v>Off</v>
      </c>
      <c r="L316" t="str">
        <f t="shared" si="68"/>
        <v>On</v>
      </c>
      <c r="M316" t="str">
        <f t="shared" si="72"/>
        <v>On</v>
      </c>
      <c r="N316" t="str">
        <f t="shared" ref="N316:N323" si="92">"Off"</f>
        <v>Off</v>
      </c>
      <c r="O316" t="str">
        <f t="shared" si="83"/>
        <v>Off</v>
      </c>
      <c r="P316" t="str">
        <f t="shared" si="83"/>
        <v>Off</v>
      </c>
      <c r="Q316" t="str">
        <f t="shared" si="83"/>
        <v>Off</v>
      </c>
      <c r="R316" t="str">
        <f t="shared" si="83"/>
        <v>Off</v>
      </c>
      <c r="S316" t="str">
        <f t="shared" si="83"/>
        <v>Off</v>
      </c>
      <c r="T316" t="str">
        <f t="shared" si="83"/>
        <v>Off</v>
      </c>
      <c r="U316" t="str">
        <f t="shared" si="83"/>
        <v>Off</v>
      </c>
      <c r="V316" t="str">
        <f t="shared" si="83"/>
        <v>Off</v>
      </c>
      <c r="W316" t="str">
        <f t="shared" si="83"/>
        <v>Off</v>
      </c>
      <c r="X316" t="str">
        <f t="shared" si="83"/>
        <v>Off</v>
      </c>
      <c r="Y316" t="str">
        <f t="shared" si="84"/>
        <v>Off</v>
      </c>
      <c r="Z316" t="str">
        <f t="shared" si="84"/>
        <v>Off</v>
      </c>
      <c r="AA316" t="str">
        <f t="shared" si="84"/>
        <v>Off</v>
      </c>
      <c r="AB316" t="str">
        <f t="shared" si="84"/>
        <v>Off</v>
      </c>
      <c r="AC316" t="str">
        <f t="shared" si="84"/>
        <v>Off</v>
      </c>
      <c r="AD316" t="str">
        <f t="shared" si="84"/>
        <v>Off</v>
      </c>
      <c r="AE316" t="str">
        <f t="shared" si="84"/>
        <v>Off</v>
      </c>
      <c r="AF316" t="str">
        <f t="shared" si="84"/>
        <v>Off</v>
      </c>
      <c r="AG316" t="str">
        <f t="shared" si="84"/>
        <v>Off</v>
      </c>
      <c r="AH316" t="str">
        <f t="shared" si="84"/>
        <v>Off</v>
      </c>
      <c r="AI316" t="str">
        <f t="shared" si="85"/>
        <v>Off</v>
      </c>
      <c r="AJ316" t="str">
        <f t="shared" si="85"/>
        <v>Off</v>
      </c>
      <c r="AK316" t="str">
        <f t="shared" si="85"/>
        <v>Off</v>
      </c>
      <c r="AL316" t="str">
        <f t="shared" si="85"/>
        <v>Off</v>
      </c>
      <c r="AM316" t="str">
        <f t="shared" si="85"/>
        <v>Off</v>
      </c>
      <c r="AN316" t="str">
        <f t="shared" si="85"/>
        <v>Off</v>
      </c>
      <c r="AO316" t="str">
        <f t="shared" si="85"/>
        <v>Off</v>
      </c>
      <c r="AP316" t="str">
        <f t="shared" si="85"/>
        <v>Off</v>
      </c>
      <c r="AQ316" t="str">
        <f t="shared" si="85"/>
        <v>Off</v>
      </c>
      <c r="AR316" t="str">
        <f t="shared" si="85"/>
        <v>Off</v>
      </c>
      <c r="AS316" t="str">
        <f t="shared" si="86"/>
        <v>Off</v>
      </c>
      <c r="AT316" t="str">
        <f t="shared" si="86"/>
        <v>Off</v>
      </c>
      <c r="AU316" t="str">
        <f t="shared" si="86"/>
        <v>Off</v>
      </c>
      <c r="AV316" t="str">
        <f t="shared" si="86"/>
        <v>Off</v>
      </c>
      <c r="AW316" t="str">
        <f t="shared" si="86"/>
        <v>Off</v>
      </c>
      <c r="AX316" t="str">
        <f t="shared" si="86"/>
        <v>Off</v>
      </c>
      <c r="AY316" t="str">
        <f t="shared" si="86"/>
        <v>Off</v>
      </c>
      <c r="AZ316" t="str">
        <f t="shared" si="86"/>
        <v>Off</v>
      </c>
      <c r="BA316" t="str">
        <f t="shared" si="86"/>
        <v>Off</v>
      </c>
      <c r="BB316" t="str">
        <f t="shared" si="86"/>
        <v>Off</v>
      </c>
      <c r="BC316" t="str">
        <f t="shared" si="87"/>
        <v>Off</v>
      </c>
      <c r="BD316" t="str">
        <f t="shared" si="87"/>
        <v>Off</v>
      </c>
      <c r="BE316" t="str">
        <f t="shared" si="87"/>
        <v>Off</v>
      </c>
      <c r="BF316" t="str">
        <f t="shared" si="87"/>
        <v>Off</v>
      </c>
      <c r="BG316" t="str">
        <f t="shared" si="87"/>
        <v>Off</v>
      </c>
      <c r="BH316" t="str">
        <f t="shared" si="87"/>
        <v>Off</v>
      </c>
      <c r="BI316" t="str">
        <f t="shared" si="87"/>
        <v>Off</v>
      </c>
      <c r="BJ316" t="str">
        <f t="shared" si="87"/>
        <v>Off</v>
      </c>
      <c r="BK316" t="str">
        <f t="shared" si="87"/>
        <v>Off</v>
      </c>
      <c r="BL316" t="str">
        <f t="shared" si="87"/>
        <v>Off</v>
      </c>
      <c r="BM316" t="str">
        <f t="shared" si="88"/>
        <v>Off</v>
      </c>
      <c r="BN316" t="str">
        <f t="shared" si="88"/>
        <v>Off</v>
      </c>
      <c r="BO316" t="str">
        <f t="shared" si="88"/>
        <v>Off</v>
      </c>
      <c r="BP316" t="str">
        <f t="shared" si="88"/>
        <v>Off</v>
      </c>
      <c r="BQ316" t="str">
        <f t="shared" si="88"/>
        <v>Off</v>
      </c>
      <c r="BR316" t="str">
        <f t="shared" si="88"/>
        <v>Off</v>
      </c>
      <c r="BS316" t="str">
        <f t="shared" si="88"/>
        <v>Off</v>
      </c>
      <c r="BT316" t="str">
        <f t="shared" si="88"/>
        <v>Off</v>
      </c>
      <c r="BU316" t="str">
        <f t="shared" si="88"/>
        <v>Off</v>
      </c>
      <c r="BV316" t="str">
        <f t="shared" si="88"/>
        <v>Off</v>
      </c>
      <c r="BW316" t="str">
        <f t="shared" si="89"/>
        <v>Off</v>
      </c>
      <c r="BX316" t="str">
        <f t="shared" si="89"/>
        <v>Off</v>
      </c>
      <c r="BY316" t="str">
        <f t="shared" si="89"/>
        <v>Off</v>
      </c>
      <c r="BZ316" t="str">
        <f t="shared" si="89"/>
        <v>Off</v>
      </c>
      <c r="CA316" t="str">
        <f t="shared" si="89"/>
        <v>Off</v>
      </c>
      <c r="CB316" t="str">
        <f t="shared" si="89"/>
        <v>Off</v>
      </c>
      <c r="CC316" t="str">
        <f t="shared" si="89"/>
        <v>Off</v>
      </c>
      <c r="CD316" t="str">
        <f t="shared" si="89"/>
        <v>Off</v>
      </c>
      <c r="CE316" t="str">
        <f t="shared" si="89"/>
        <v>Off</v>
      </c>
      <c r="CF316" t="str">
        <f t="shared" si="89"/>
        <v>Off</v>
      </c>
      <c r="CG316" t="str">
        <f t="shared" si="90"/>
        <v>Off</v>
      </c>
      <c r="CH316" t="str">
        <f t="shared" si="90"/>
        <v>Off</v>
      </c>
      <c r="CI316" t="str">
        <f t="shared" si="90"/>
        <v>Off</v>
      </c>
      <c r="CJ316" t="str">
        <f t="shared" si="90"/>
        <v>Off</v>
      </c>
      <c r="CK316" t="str">
        <f t="shared" si="90"/>
        <v>Off</v>
      </c>
      <c r="CL316" t="str">
        <f t="shared" si="90"/>
        <v>Off</v>
      </c>
      <c r="CM316" t="str">
        <f t="shared" si="90"/>
        <v>Off</v>
      </c>
      <c r="CN316" t="str">
        <f t="shared" si="90"/>
        <v>Off</v>
      </c>
      <c r="CO316" t="str">
        <f t="shared" si="90"/>
        <v>Off</v>
      </c>
      <c r="CP316" t="str">
        <f t="shared" si="90"/>
        <v>Off</v>
      </c>
      <c r="CQ316" t="str">
        <f t="shared" si="91"/>
        <v>Off</v>
      </c>
      <c r="CR316" t="str">
        <f t="shared" si="91"/>
        <v>Off</v>
      </c>
      <c r="CS316" t="str">
        <f t="shared" si="91"/>
        <v>Off</v>
      </c>
      <c r="CT316" t="str">
        <f t="shared" si="91"/>
        <v>Off</v>
      </c>
      <c r="CU316" t="str">
        <f t="shared" si="91"/>
        <v>Off</v>
      </c>
      <c r="CV316" t="str">
        <f t="shared" si="91"/>
        <v>Off</v>
      </c>
      <c r="CW316" t="str">
        <f t="shared" si="91"/>
        <v>Off</v>
      </c>
    </row>
    <row r="317" spans="1:101">
      <c r="A317">
        <v>27</v>
      </c>
      <c r="B317" t="str">
        <f t="shared" si="66"/>
        <v>On</v>
      </c>
      <c r="C317" t="str">
        <f t="shared" si="66"/>
        <v>On</v>
      </c>
      <c r="D317" t="str">
        <f t="shared" si="66"/>
        <v>On</v>
      </c>
      <c r="E317" t="str">
        <f t="shared" si="50"/>
        <v>Off</v>
      </c>
      <c r="F317" t="str">
        <f t="shared" si="67"/>
        <v>Off</v>
      </c>
      <c r="G317" t="str">
        <f t="shared" si="67"/>
        <v>Off</v>
      </c>
      <c r="H317" t="str">
        <f t="shared" si="82"/>
        <v>On</v>
      </c>
      <c r="I317" t="str">
        <f t="shared" si="52"/>
        <v>Off</v>
      </c>
      <c r="J317" t="str">
        <f t="shared" si="53"/>
        <v>Off</v>
      </c>
      <c r="K317" t="str">
        <f t="shared" si="63"/>
        <v>Off</v>
      </c>
      <c r="L317" t="str">
        <f t="shared" si="68"/>
        <v>On</v>
      </c>
      <c r="M317" t="str">
        <f t="shared" si="72"/>
        <v>On</v>
      </c>
      <c r="N317" t="str">
        <f t="shared" si="92"/>
        <v>Off</v>
      </c>
      <c r="O317" t="str">
        <f t="shared" si="83"/>
        <v>Off</v>
      </c>
      <c r="P317" t="str">
        <f t="shared" si="83"/>
        <v>Off</v>
      </c>
      <c r="Q317" t="str">
        <f t="shared" si="83"/>
        <v>Off</v>
      </c>
      <c r="R317" t="str">
        <f t="shared" si="83"/>
        <v>Off</v>
      </c>
      <c r="S317" t="str">
        <f t="shared" si="83"/>
        <v>Off</v>
      </c>
      <c r="T317" t="str">
        <f t="shared" si="83"/>
        <v>Off</v>
      </c>
      <c r="U317" t="str">
        <f t="shared" si="83"/>
        <v>Off</v>
      </c>
      <c r="V317" t="str">
        <f t="shared" si="83"/>
        <v>Off</v>
      </c>
      <c r="W317" t="str">
        <f t="shared" si="83"/>
        <v>Off</v>
      </c>
      <c r="X317" t="str">
        <f t="shared" si="83"/>
        <v>Off</v>
      </c>
      <c r="Y317" t="str">
        <f t="shared" si="84"/>
        <v>Off</v>
      </c>
      <c r="Z317" t="str">
        <f t="shared" si="84"/>
        <v>Off</v>
      </c>
      <c r="AA317" t="str">
        <f t="shared" si="84"/>
        <v>Off</v>
      </c>
      <c r="AB317" t="str">
        <f t="shared" si="84"/>
        <v>Off</v>
      </c>
      <c r="AC317" t="str">
        <f t="shared" si="84"/>
        <v>Off</v>
      </c>
      <c r="AD317" t="str">
        <f t="shared" si="84"/>
        <v>Off</v>
      </c>
      <c r="AE317" t="str">
        <f t="shared" si="84"/>
        <v>Off</v>
      </c>
      <c r="AF317" t="str">
        <f t="shared" si="84"/>
        <v>Off</v>
      </c>
      <c r="AG317" t="str">
        <f t="shared" si="84"/>
        <v>Off</v>
      </c>
      <c r="AH317" t="str">
        <f t="shared" si="84"/>
        <v>Off</v>
      </c>
      <c r="AI317" t="str">
        <f t="shared" si="85"/>
        <v>Off</v>
      </c>
      <c r="AJ317" t="str">
        <f t="shared" si="85"/>
        <v>Off</v>
      </c>
      <c r="AK317" t="str">
        <f t="shared" si="85"/>
        <v>Off</v>
      </c>
      <c r="AL317" t="str">
        <f t="shared" si="85"/>
        <v>Off</v>
      </c>
      <c r="AM317" t="str">
        <f t="shared" si="85"/>
        <v>Off</v>
      </c>
      <c r="AN317" t="str">
        <f t="shared" si="85"/>
        <v>Off</v>
      </c>
      <c r="AO317" t="str">
        <f t="shared" si="85"/>
        <v>Off</v>
      </c>
      <c r="AP317" t="str">
        <f t="shared" si="85"/>
        <v>Off</v>
      </c>
      <c r="AQ317" t="str">
        <f t="shared" si="85"/>
        <v>Off</v>
      </c>
      <c r="AR317" t="str">
        <f t="shared" si="85"/>
        <v>Off</v>
      </c>
      <c r="AS317" t="str">
        <f t="shared" si="86"/>
        <v>Off</v>
      </c>
      <c r="AT317" t="str">
        <f t="shared" si="86"/>
        <v>Off</v>
      </c>
      <c r="AU317" t="str">
        <f t="shared" si="86"/>
        <v>Off</v>
      </c>
      <c r="AV317" t="str">
        <f t="shared" si="86"/>
        <v>Off</v>
      </c>
      <c r="AW317" t="str">
        <f t="shared" si="86"/>
        <v>Off</v>
      </c>
      <c r="AX317" t="str">
        <f t="shared" si="86"/>
        <v>Off</v>
      </c>
      <c r="AY317" t="str">
        <f t="shared" si="86"/>
        <v>Off</v>
      </c>
      <c r="AZ317" t="str">
        <f t="shared" si="86"/>
        <v>Off</v>
      </c>
      <c r="BA317" t="str">
        <f t="shared" si="86"/>
        <v>Off</v>
      </c>
      <c r="BB317" t="str">
        <f t="shared" si="86"/>
        <v>Off</v>
      </c>
      <c r="BC317" t="str">
        <f t="shared" si="87"/>
        <v>Off</v>
      </c>
      <c r="BD317" t="str">
        <f t="shared" si="87"/>
        <v>Off</v>
      </c>
      <c r="BE317" t="str">
        <f t="shared" si="87"/>
        <v>Off</v>
      </c>
      <c r="BF317" t="str">
        <f t="shared" si="87"/>
        <v>Off</v>
      </c>
      <c r="BG317" t="str">
        <f t="shared" si="87"/>
        <v>Off</v>
      </c>
      <c r="BH317" t="str">
        <f t="shared" si="87"/>
        <v>Off</v>
      </c>
      <c r="BI317" t="str">
        <f t="shared" si="87"/>
        <v>Off</v>
      </c>
      <c r="BJ317" t="str">
        <f t="shared" si="87"/>
        <v>Off</v>
      </c>
      <c r="BK317" t="str">
        <f t="shared" si="87"/>
        <v>Off</v>
      </c>
      <c r="BL317" t="str">
        <f t="shared" si="87"/>
        <v>Off</v>
      </c>
      <c r="BM317" t="str">
        <f t="shared" si="88"/>
        <v>Off</v>
      </c>
      <c r="BN317" t="str">
        <f t="shared" si="88"/>
        <v>Off</v>
      </c>
      <c r="BO317" t="str">
        <f t="shared" si="88"/>
        <v>Off</v>
      </c>
      <c r="BP317" t="str">
        <f t="shared" si="88"/>
        <v>Off</v>
      </c>
      <c r="BQ317" t="str">
        <f t="shared" si="88"/>
        <v>Off</v>
      </c>
      <c r="BR317" t="str">
        <f t="shared" si="88"/>
        <v>Off</v>
      </c>
      <c r="BS317" t="str">
        <f t="shared" si="88"/>
        <v>Off</v>
      </c>
      <c r="BT317" t="str">
        <f t="shared" si="88"/>
        <v>Off</v>
      </c>
      <c r="BU317" t="str">
        <f t="shared" si="88"/>
        <v>Off</v>
      </c>
      <c r="BV317" t="str">
        <f t="shared" si="88"/>
        <v>Off</v>
      </c>
      <c r="BW317" t="str">
        <f t="shared" si="89"/>
        <v>Off</v>
      </c>
      <c r="BX317" t="str">
        <f t="shared" si="89"/>
        <v>Off</v>
      </c>
      <c r="BY317" t="str">
        <f t="shared" si="89"/>
        <v>Off</v>
      </c>
      <c r="BZ317" t="str">
        <f t="shared" si="89"/>
        <v>Off</v>
      </c>
      <c r="CA317" t="str">
        <f t="shared" si="89"/>
        <v>Off</v>
      </c>
      <c r="CB317" t="str">
        <f t="shared" si="89"/>
        <v>Off</v>
      </c>
      <c r="CC317" t="str">
        <f t="shared" si="89"/>
        <v>Off</v>
      </c>
      <c r="CD317" t="str">
        <f t="shared" si="89"/>
        <v>Off</v>
      </c>
      <c r="CE317" t="str">
        <f t="shared" si="89"/>
        <v>Off</v>
      </c>
      <c r="CF317" t="str">
        <f t="shared" si="89"/>
        <v>Off</v>
      </c>
      <c r="CG317" t="str">
        <f t="shared" si="90"/>
        <v>Off</v>
      </c>
      <c r="CH317" t="str">
        <f t="shared" si="90"/>
        <v>Off</v>
      </c>
      <c r="CI317" t="str">
        <f t="shared" si="90"/>
        <v>Off</v>
      </c>
      <c r="CJ317" t="str">
        <f t="shared" si="90"/>
        <v>Off</v>
      </c>
      <c r="CK317" t="str">
        <f t="shared" si="90"/>
        <v>Off</v>
      </c>
      <c r="CL317" t="str">
        <f t="shared" si="90"/>
        <v>Off</v>
      </c>
      <c r="CM317" t="str">
        <f t="shared" si="90"/>
        <v>Off</v>
      </c>
      <c r="CN317" t="str">
        <f t="shared" si="90"/>
        <v>Off</v>
      </c>
      <c r="CO317" t="str">
        <f t="shared" si="90"/>
        <v>Off</v>
      </c>
      <c r="CP317" t="str">
        <f t="shared" si="90"/>
        <v>Off</v>
      </c>
      <c r="CQ317" t="str">
        <f t="shared" si="91"/>
        <v>Off</v>
      </c>
      <c r="CR317" t="str">
        <f t="shared" si="91"/>
        <v>Off</v>
      </c>
      <c r="CS317" t="str">
        <f t="shared" si="91"/>
        <v>Off</v>
      </c>
      <c r="CT317" t="str">
        <f t="shared" si="91"/>
        <v>Off</v>
      </c>
      <c r="CU317" t="str">
        <f t="shared" si="91"/>
        <v>Off</v>
      </c>
      <c r="CV317" t="str">
        <f t="shared" si="91"/>
        <v>Off</v>
      </c>
      <c r="CW317" t="str">
        <f t="shared" si="91"/>
        <v>Off</v>
      </c>
    </row>
    <row r="318" spans="1:101">
      <c r="A318">
        <v>28</v>
      </c>
      <c r="B318" t="str">
        <f t="shared" si="66"/>
        <v>On</v>
      </c>
      <c r="C318" t="str">
        <f t="shared" si="66"/>
        <v>On</v>
      </c>
      <c r="D318" t="str">
        <f t="shared" si="66"/>
        <v>On</v>
      </c>
      <c r="E318" t="str">
        <f t="shared" si="50"/>
        <v>Off</v>
      </c>
      <c r="F318" t="str">
        <f t="shared" si="67"/>
        <v>Off</v>
      </c>
      <c r="G318" t="str">
        <f t="shared" si="67"/>
        <v>Off</v>
      </c>
      <c r="H318" t="str">
        <f t="shared" si="82"/>
        <v>On</v>
      </c>
      <c r="I318" t="str">
        <f t="shared" si="52"/>
        <v>Off</v>
      </c>
      <c r="J318" t="str">
        <f t="shared" si="53"/>
        <v>Off</v>
      </c>
      <c r="K318" t="str">
        <f t="shared" si="63"/>
        <v>Off</v>
      </c>
      <c r="L318" t="str">
        <f t="shared" si="68"/>
        <v>On</v>
      </c>
      <c r="M318" t="str">
        <f t="shared" si="72"/>
        <v>On</v>
      </c>
      <c r="N318" t="str">
        <f t="shared" si="92"/>
        <v>Off</v>
      </c>
      <c r="O318" t="str">
        <f t="shared" si="83"/>
        <v>Off</v>
      </c>
      <c r="P318" t="str">
        <f t="shared" si="83"/>
        <v>Off</v>
      </c>
      <c r="Q318" t="str">
        <f t="shared" si="83"/>
        <v>Off</v>
      </c>
      <c r="R318" t="str">
        <f t="shared" si="83"/>
        <v>Off</v>
      </c>
      <c r="S318" t="str">
        <f t="shared" si="83"/>
        <v>Off</v>
      </c>
      <c r="T318" t="str">
        <f t="shared" si="83"/>
        <v>Off</v>
      </c>
      <c r="U318" t="str">
        <f t="shared" si="83"/>
        <v>Off</v>
      </c>
      <c r="V318" t="str">
        <f t="shared" si="83"/>
        <v>Off</v>
      </c>
      <c r="W318" t="str">
        <f t="shared" si="83"/>
        <v>Off</v>
      </c>
      <c r="X318" t="str">
        <f t="shared" si="83"/>
        <v>Off</v>
      </c>
      <c r="Y318" t="str">
        <f t="shared" si="84"/>
        <v>Off</v>
      </c>
      <c r="Z318" t="str">
        <f t="shared" si="84"/>
        <v>Off</v>
      </c>
      <c r="AA318" t="str">
        <f t="shared" si="84"/>
        <v>Off</v>
      </c>
      <c r="AB318" t="str">
        <f t="shared" si="84"/>
        <v>Off</v>
      </c>
      <c r="AC318" t="str">
        <f t="shared" si="84"/>
        <v>Off</v>
      </c>
      <c r="AD318" t="str">
        <f t="shared" si="84"/>
        <v>Off</v>
      </c>
      <c r="AE318" t="str">
        <f t="shared" si="84"/>
        <v>Off</v>
      </c>
      <c r="AF318" t="str">
        <f t="shared" si="84"/>
        <v>Off</v>
      </c>
      <c r="AG318" t="str">
        <f t="shared" si="84"/>
        <v>Off</v>
      </c>
      <c r="AH318" t="str">
        <f t="shared" si="84"/>
        <v>Off</v>
      </c>
      <c r="AI318" t="str">
        <f t="shared" si="85"/>
        <v>Off</v>
      </c>
      <c r="AJ318" t="str">
        <f t="shared" si="85"/>
        <v>Off</v>
      </c>
      <c r="AK318" t="str">
        <f t="shared" si="85"/>
        <v>Off</v>
      </c>
      <c r="AL318" t="str">
        <f t="shared" si="85"/>
        <v>Off</v>
      </c>
      <c r="AM318" t="str">
        <f t="shared" si="85"/>
        <v>Off</v>
      </c>
      <c r="AN318" t="str">
        <f t="shared" si="85"/>
        <v>Off</v>
      </c>
      <c r="AO318" t="str">
        <f t="shared" si="85"/>
        <v>Off</v>
      </c>
      <c r="AP318" t="str">
        <f t="shared" si="85"/>
        <v>Off</v>
      </c>
      <c r="AQ318" t="str">
        <f t="shared" si="85"/>
        <v>Off</v>
      </c>
      <c r="AR318" t="str">
        <f t="shared" si="85"/>
        <v>Off</v>
      </c>
      <c r="AS318" t="str">
        <f t="shared" si="86"/>
        <v>Off</v>
      </c>
      <c r="AT318" t="str">
        <f t="shared" si="86"/>
        <v>Off</v>
      </c>
      <c r="AU318" t="str">
        <f t="shared" si="86"/>
        <v>Off</v>
      </c>
      <c r="AV318" t="str">
        <f t="shared" si="86"/>
        <v>Off</v>
      </c>
      <c r="AW318" t="str">
        <f t="shared" si="86"/>
        <v>Off</v>
      </c>
      <c r="AX318" t="str">
        <f t="shared" si="86"/>
        <v>Off</v>
      </c>
      <c r="AY318" t="str">
        <f t="shared" si="86"/>
        <v>Off</v>
      </c>
      <c r="AZ318" t="str">
        <f t="shared" si="86"/>
        <v>Off</v>
      </c>
      <c r="BA318" t="str">
        <f t="shared" si="86"/>
        <v>Off</v>
      </c>
      <c r="BB318" t="str">
        <f t="shared" si="86"/>
        <v>Off</v>
      </c>
      <c r="BC318" t="str">
        <f t="shared" si="87"/>
        <v>Off</v>
      </c>
      <c r="BD318" t="str">
        <f t="shared" si="87"/>
        <v>Off</v>
      </c>
      <c r="BE318" t="str">
        <f t="shared" si="87"/>
        <v>Off</v>
      </c>
      <c r="BF318" t="str">
        <f t="shared" si="87"/>
        <v>Off</v>
      </c>
      <c r="BG318" t="str">
        <f t="shared" si="87"/>
        <v>Off</v>
      </c>
      <c r="BH318" t="str">
        <f t="shared" si="87"/>
        <v>Off</v>
      </c>
      <c r="BI318" t="str">
        <f t="shared" si="87"/>
        <v>Off</v>
      </c>
      <c r="BJ318" t="str">
        <f t="shared" si="87"/>
        <v>Off</v>
      </c>
      <c r="BK318" t="str">
        <f t="shared" si="87"/>
        <v>Off</v>
      </c>
      <c r="BL318" t="str">
        <f t="shared" si="87"/>
        <v>Off</v>
      </c>
      <c r="BM318" t="str">
        <f t="shared" si="88"/>
        <v>Off</v>
      </c>
      <c r="BN318" t="str">
        <f t="shared" si="88"/>
        <v>Off</v>
      </c>
      <c r="BO318" t="str">
        <f t="shared" si="88"/>
        <v>Off</v>
      </c>
      <c r="BP318" t="str">
        <f t="shared" si="88"/>
        <v>Off</v>
      </c>
      <c r="BQ318" t="str">
        <f t="shared" si="88"/>
        <v>Off</v>
      </c>
      <c r="BR318" t="str">
        <f t="shared" si="88"/>
        <v>Off</v>
      </c>
      <c r="BS318" t="str">
        <f t="shared" si="88"/>
        <v>Off</v>
      </c>
      <c r="BT318" t="str">
        <f t="shared" si="88"/>
        <v>Off</v>
      </c>
      <c r="BU318" t="str">
        <f t="shared" si="88"/>
        <v>Off</v>
      </c>
      <c r="BV318" t="str">
        <f t="shared" si="88"/>
        <v>Off</v>
      </c>
      <c r="BW318" t="str">
        <f t="shared" si="89"/>
        <v>Off</v>
      </c>
      <c r="BX318" t="str">
        <f t="shared" si="89"/>
        <v>Off</v>
      </c>
      <c r="BY318" t="str">
        <f t="shared" si="89"/>
        <v>Off</v>
      </c>
      <c r="BZ318" t="str">
        <f t="shared" si="89"/>
        <v>Off</v>
      </c>
      <c r="CA318" t="str">
        <f t="shared" si="89"/>
        <v>Off</v>
      </c>
      <c r="CB318" t="str">
        <f t="shared" si="89"/>
        <v>Off</v>
      </c>
      <c r="CC318" t="str">
        <f t="shared" si="89"/>
        <v>Off</v>
      </c>
      <c r="CD318" t="str">
        <f t="shared" si="89"/>
        <v>Off</v>
      </c>
      <c r="CE318" t="str">
        <f t="shared" si="89"/>
        <v>Off</v>
      </c>
      <c r="CF318" t="str">
        <f t="shared" si="89"/>
        <v>Off</v>
      </c>
      <c r="CG318" t="str">
        <f t="shared" si="90"/>
        <v>Off</v>
      </c>
      <c r="CH318" t="str">
        <f t="shared" si="90"/>
        <v>Off</v>
      </c>
      <c r="CI318" t="str">
        <f t="shared" si="90"/>
        <v>Off</v>
      </c>
      <c r="CJ318" t="str">
        <f t="shared" si="90"/>
        <v>Off</v>
      </c>
      <c r="CK318" t="str">
        <f t="shared" si="90"/>
        <v>Off</v>
      </c>
      <c r="CL318" t="str">
        <f t="shared" si="90"/>
        <v>Off</v>
      </c>
      <c r="CM318" t="str">
        <f t="shared" si="90"/>
        <v>Off</v>
      </c>
      <c r="CN318" t="str">
        <f t="shared" si="90"/>
        <v>Off</v>
      </c>
      <c r="CO318" t="str">
        <f t="shared" si="90"/>
        <v>Off</v>
      </c>
      <c r="CP318" t="str">
        <f t="shared" si="90"/>
        <v>Off</v>
      </c>
      <c r="CQ318" t="str">
        <f t="shared" si="91"/>
        <v>Off</v>
      </c>
      <c r="CR318" t="str">
        <f t="shared" si="91"/>
        <v>Off</v>
      </c>
      <c r="CS318" t="str">
        <f t="shared" si="91"/>
        <v>Off</v>
      </c>
      <c r="CT318" t="str">
        <f t="shared" si="91"/>
        <v>Off</v>
      </c>
      <c r="CU318" t="str">
        <f t="shared" si="91"/>
        <v>Off</v>
      </c>
      <c r="CV318" t="str">
        <f t="shared" si="91"/>
        <v>Off</v>
      </c>
      <c r="CW318" t="str">
        <f t="shared" si="91"/>
        <v>Off</v>
      </c>
    </row>
    <row r="319" spans="1:101">
      <c r="A319">
        <v>29</v>
      </c>
      <c r="B319" t="str">
        <f t="shared" si="66"/>
        <v>On</v>
      </c>
      <c r="C319" t="str">
        <f t="shared" si="66"/>
        <v>On</v>
      </c>
      <c r="D319" t="str">
        <f t="shared" si="66"/>
        <v>On</v>
      </c>
      <c r="E319" t="str">
        <f t="shared" si="50"/>
        <v>Off</v>
      </c>
      <c r="F319" t="str">
        <f t="shared" si="67"/>
        <v>Off</v>
      </c>
      <c r="G319" t="str">
        <f t="shared" si="67"/>
        <v>Off</v>
      </c>
      <c r="H319" t="str">
        <f t="shared" si="82"/>
        <v>On</v>
      </c>
      <c r="I319" t="str">
        <f t="shared" si="52"/>
        <v>Off</v>
      </c>
      <c r="J319" t="str">
        <f t="shared" si="53"/>
        <v>Off</v>
      </c>
      <c r="K319" t="str">
        <f t="shared" si="63"/>
        <v>Off</v>
      </c>
      <c r="L319" t="str">
        <f t="shared" ref="L319:L332" si="93">"Off"</f>
        <v>Off</v>
      </c>
      <c r="M319" t="str">
        <f t="shared" si="72"/>
        <v>On</v>
      </c>
      <c r="N319" t="str">
        <f t="shared" si="92"/>
        <v>Off</v>
      </c>
      <c r="O319" t="str">
        <f t="shared" si="83"/>
        <v>Off</v>
      </c>
      <c r="P319" t="str">
        <f t="shared" si="83"/>
        <v>Off</v>
      </c>
      <c r="Q319" t="str">
        <f t="shared" si="83"/>
        <v>Off</v>
      </c>
      <c r="R319" t="str">
        <f t="shared" si="83"/>
        <v>Off</v>
      </c>
      <c r="S319" t="str">
        <f t="shared" si="83"/>
        <v>Off</v>
      </c>
      <c r="T319" t="str">
        <f t="shared" si="83"/>
        <v>Off</v>
      </c>
      <c r="U319" t="str">
        <f t="shared" si="83"/>
        <v>Off</v>
      </c>
      <c r="V319" t="str">
        <f t="shared" si="83"/>
        <v>Off</v>
      </c>
      <c r="W319" t="str">
        <f t="shared" si="83"/>
        <v>Off</v>
      </c>
      <c r="X319" t="str">
        <f t="shared" si="83"/>
        <v>Off</v>
      </c>
      <c r="Y319" t="str">
        <f t="shared" si="84"/>
        <v>Off</v>
      </c>
      <c r="Z319" t="str">
        <f t="shared" si="84"/>
        <v>Off</v>
      </c>
      <c r="AA319" t="str">
        <f t="shared" si="84"/>
        <v>Off</v>
      </c>
      <c r="AB319" t="str">
        <f t="shared" si="84"/>
        <v>Off</v>
      </c>
      <c r="AC319" t="str">
        <f t="shared" si="84"/>
        <v>Off</v>
      </c>
      <c r="AD319" t="str">
        <f t="shared" si="84"/>
        <v>Off</v>
      </c>
      <c r="AE319" t="str">
        <f t="shared" si="84"/>
        <v>Off</v>
      </c>
      <c r="AF319" t="str">
        <f t="shared" si="84"/>
        <v>Off</v>
      </c>
      <c r="AG319" t="str">
        <f t="shared" si="84"/>
        <v>Off</v>
      </c>
      <c r="AH319" t="str">
        <f t="shared" si="84"/>
        <v>Off</v>
      </c>
      <c r="AI319" t="str">
        <f t="shared" si="85"/>
        <v>Off</v>
      </c>
      <c r="AJ319" t="str">
        <f t="shared" si="85"/>
        <v>Off</v>
      </c>
      <c r="AK319" t="str">
        <f t="shared" si="85"/>
        <v>Off</v>
      </c>
      <c r="AL319" t="str">
        <f t="shared" si="85"/>
        <v>Off</v>
      </c>
      <c r="AM319" t="str">
        <f t="shared" si="85"/>
        <v>Off</v>
      </c>
      <c r="AN319" t="str">
        <f t="shared" si="85"/>
        <v>Off</v>
      </c>
      <c r="AO319" t="str">
        <f t="shared" si="85"/>
        <v>Off</v>
      </c>
      <c r="AP319" t="str">
        <f t="shared" si="85"/>
        <v>Off</v>
      </c>
      <c r="AQ319" t="str">
        <f t="shared" si="85"/>
        <v>Off</v>
      </c>
      <c r="AR319" t="str">
        <f t="shared" si="85"/>
        <v>Off</v>
      </c>
      <c r="AS319" t="str">
        <f t="shared" si="86"/>
        <v>Off</v>
      </c>
      <c r="AT319" t="str">
        <f t="shared" si="86"/>
        <v>Off</v>
      </c>
      <c r="AU319" t="str">
        <f t="shared" si="86"/>
        <v>Off</v>
      </c>
      <c r="AV319" t="str">
        <f t="shared" si="86"/>
        <v>Off</v>
      </c>
      <c r="AW319" t="str">
        <f t="shared" si="86"/>
        <v>Off</v>
      </c>
      <c r="AX319" t="str">
        <f t="shared" si="86"/>
        <v>Off</v>
      </c>
      <c r="AY319" t="str">
        <f t="shared" si="86"/>
        <v>Off</v>
      </c>
      <c r="AZ319" t="str">
        <f t="shared" si="86"/>
        <v>Off</v>
      </c>
      <c r="BA319" t="str">
        <f t="shared" si="86"/>
        <v>Off</v>
      </c>
      <c r="BB319" t="str">
        <f t="shared" si="86"/>
        <v>Off</v>
      </c>
      <c r="BC319" t="str">
        <f t="shared" si="87"/>
        <v>Off</v>
      </c>
      <c r="BD319" t="str">
        <f t="shared" si="87"/>
        <v>Off</v>
      </c>
      <c r="BE319" t="str">
        <f t="shared" si="87"/>
        <v>Off</v>
      </c>
      <c r="BF319" t="str">
        <f t="shared" si="87"/>
        <v>Off</v>
      </c>
      <c r="BG319" t="str">
        <f t="shared" si="87"/>
        <v>Off</v>
      </c>
      <c r="BH319" t="str">
        <f t="shared" si="87"/>
        <v>Off</v>
      </c>
      <c r="BI319" t="str">
        <f t="shared" si="87"/>
        <v>Off</v>
      </c>
      <c r="BJ319" t="str">
        <f t="shared" si="87"/>
        <v>Off</v>
      </c>
      <c r="BK319" t="str">
        <f t="shared" si="87"/>
        <v>Off</v>
      </c>
      <c r="BL319" t="str">
        <f t="shared" si="87"/>
        <v>Off</v>
      </c>
      <c r="BM319" t="str">
        <f t="shared" si="88"/>
        <v>Off</v>
      </c>
      <c r="BN319" t="str">
        <f t="shared" si="88"/>
        <v>Off</v>
      </c>
      <c r="BO319" t="str">
        <f t="shared" si="88"/>
        <v>Off</v>
      </c>
      <c r="BP319" t="str">
        <f t="shared" si="88"/>
        <v>Off</v>
      </c>
      <c r="BQ319" t="str">
        <f t="shared" si="88"/>
        <v>Off</v>
      </c>
      <c r="BR319" t="str">
        <f t="shared" si="88"/>
        <v>Off</v>
      </c>
      <c r="BS319" t="str">
        <f t="shared" si="88"/>
        <v>Off</v>
      </c>
      <c r="BT319" t="str">
        <f t="shared" si="88"/>
        <v>Off</v>
      </c>
      <c r="BU319" t="str">
        <f t="shared" si="88"/>
        <v>Off</v>
      </c>
      <c r="BV319" t="str">
        <f t="shared" si="88"/>
        <v>Off</v>
      </c>
      <c r="BW319" t="str">
        <f t="shared" si="89"/>
        <v>Off</v>
      </c>
      <c r="BX319" t="str">
        <f t="shared" si="89"/>
        <v>Off</v>
      </c>
      <c r="BY319" t="str">
        <f t="shared" si="89"/>
        <v>Off</v>
      </c>
      <c r="BZ319" t="str">
        <f t="shared" si="89"/>
        <v>Off</v>
      </c>
      <c r="CA319" t="str">
        <f t="shared" si="89"/>
        <v>Off</v>
      </c>
      <c r="CB319" t="str">
        <f t="shared" si="89"/>
        <v>Off</v>
      </c>
      <c r="CC319" t="str">
        <f t="shared" si="89"/>
        <v>Off</v>
      </c>
      <c r="CD319" t="str">
        <f t="shared" si="89"/>
        <v>Off</v>
      </c>
      <c r="CE319" t="str">
        <f t="shared" si="89"/>
        <v>Off</v>
      </c>
      <c r="CF319" t="str">
        <f t="shared" si="89"/>
        <v>Off</v>
      </c>
      <c r="CG319" t="str">
        <f t="shared" si="90"/>
        <v>Off</v>
      </c>
      <c r="CH319" t="str">
        <f t="shared" si="90"/>
        <v>Off</v>
      </c>
      <c r="CI319" t="str">
        <f t="shared" si="90"/>
        <v>Off</v>
      </c>
      <c r="CJ319" t="str">
        <f t="shared" si="90"/>
        <v>Off</v>
      </c>
      <c r="CK319" t="str">
        <f t="shared" si="90"/>
        <v>Off</v>
      </c>
      <c r="CL319" t="str">
        <f t="shared" si="90"/>
        <v>Off</v>
      </c>
      <c r="CM319" t="str">
        <f t="shared" si="90"/>
        <v>Off</v>
      </c>
      <c r="CN319" t="str">
        <f t="shared" si="90"/>
        <v>Off</v>
      </c>
      <c r="CO319" t="str">
        <f t="shared" si="90"/>
        <v>Off</v>
      </c>
      <c r="CP319" t="str">
        <f t="shared" si="90"/>
        <v>Off</v>
      </c>
      <c r="CQ319" t="str">
        <f t="shared" si="91"/>
        <v>Off</v>
      </c>
      <c r="CR319" t="str">
        <f t="shared" si="91"/>
        <v>Off</v>
      </c>
      <c r="CS319" t="str">
        <f t="shared" si="91"/>
        <v>Off</v>
      </c>
      <c r="CT319" t="str">
        <f t="shared" si="91"/>
        <v>Off</v>
      </c>
      <c r="CU319" t="str">
        <f t="shared" si="91"/>
        <v>Off</v>
      </c>
      <c r="CV319" t="str">
        <f t="shared" si="91"/>
        <v>Off</v>
      </c>
      <c r="CW319" t="str">
        <f t="shared" si="91"/>
        <v>Off</v>
      </c>
    </row>
    <row r="320" spans="1:101">
      <c r="A320">
        <v>30</v>
      </c>
      <c r="B320" t="str">
        <f t="shared" si="66"/>
        <v>On</v>
      </c>
      <c r="C320" t="str">
        <f t="shared" si="66"/>
        <v>On</v>
      </c>
      <c r="D320" t="str">
        <f t="shared" si="66"/>
        <v>On</v>
      </c>
      <c r="E320" t="str">
        <f t="shared" si="50"/>
        <v>Off</v>
      </c>
      <c r="F320" t="str">
        <f t="shared" si="67"/>
        <v>Off</v>
      </c>
      <c r="G320" t="str">
        <f t="shared" si="67"/>
        <v>Off</v>
      </c>
      <c r="H320" t="str">
        <f t="shared" si="82"/>
        <v>On</v>
      </c>
      <c r="I320" t="str">
        <f t="shared" si="52"/>
        <v>Off</v>
      </c>
      <c r="J320" t="str">
        <f t="shared" si="53"/>
        <v>Off</v>
      </c>
      <c r="K320" t="str">
        <f t="shared" si="63"/>
        <v>Off</v>
      </c>
      <c r="L320" t="str">
        <f t="shared" si="93"/>
        <v>Off</v>
      </c>
      <c r="M320" t="str">
        <f t="shared" ref="M320:M325" si="94">"Off"</f>
        <v>Off</v>
      </c>
      <c r="N320" t="str">
        <f t="shared" si="92"/>
        <v>Off</v>
      </c>
      <c r="O320" t="str">
        <f t="shared" si="83"/>
        <v>Off</v>
      </c>
      <c r="P320" t="str">
        <f t="shared" si="83"/>
        <v>Off</v>
      </c>
      <c r="Q320" t="str">
        <f t="shared" si="83"/>
        <v>Off</v>
      </c>
      <c r="R320" t="str">
        <f t="shared" si="83"/>
        <v>Off</v>
      </c>
      <c r="S320" t="str">
        <f t="shared" si="83"/>
        <v>Off</v>
      </c>
      <c r="T320" t="str">
        <f t="shared" si="83"/>
        <v>Off</v>
      </c>
      <c r="U320" t="str">
        <f t="shared" si="83"/>
        <v>Off</v>
      </c>
      <c r="V320" t="str">
        <f t="shared" si="83"/>
        <v>Off</v>
      </c>
      <c r="W320" t="str">
        <f t="shared" si="83"/>
        <v>Off</v>
      </c>
      <c r="X320" t="str">
        <f t="shared" si="83"/>
        <v>Off</v>
      </c>
      <c r="Y320" t="str">
        <f t="shared" si="84"/>
        <v>Off</v>
      </c>
      <c r="Z320" t="str">
        <f t="shared" si="84"/>
        <v>Off</v>
      </c>
      <c r="AA320" t="str">
        <f t="shared" si="84"/>
        <v>Off</v>
      </c>
      <c r="AB320" t="str">
        <f t="shared" si="84"/>
        <v>Off</v>
      </c>
      <c r="AC320" t="str">
        <f t="shared" si="84"/>
        <v>Off</v>
      </c>
      <c r="AD320" t="str">
        <f t="shared" si="84"/>
        <v>Off</v>
      </c>
      <c r="AE320" t="str">
        <f t="shared" si="84"/>
        <v>Off</v>
      </c>
      <c r="AF320" t="str">
        <f t="shared" si="84"/>
        <v>Off</v>
      </c>
      <c r="AG320" t="str">
        <f t="shared" si="84"/>
        <v>Off</v>
      </c>
      <c r="AH320" t="str">
        <f t="shared" si="84"/>
        <v>Off</v>
      </c>
      <c r="AI320" t="str">
        <f t="shared" si="85"/>
        <v>Off</v>
      </c>
      <c r="AJ320" t="str">
        <f t="shared" si="85"/>
        <v>Off</v>
      </c>
      <c r="AK320" t="str">
        <f t="shared" si="85"/>
        <v>Off</v>
      </c>
      <c r="AL320" t="str">
        <f t="shared" si="85"/>
        <v>Off</v>
      </c>
      <c r="AM320" t="str">
        <f t="shared" si="85"/>
        <v>Off</v>
      </c>
      <c r="AN320" t="str">
        <f t="shared" si="85"/>
        <v>Off</v>
      </c>
      <c r="AO320" t="str">
        <f t="shared" si="85"/>
        <v>Off</v>
      </c>
      <c r="AP320" t="str">
        <f t="shared" si="85"/>
        <v>Off</v>
      </c>
      <c r="AQ320" t="str">
        <f t="shared" si="85"/>
        <v>Off</v>
      </c>
      <c r="AR320" t="str">
        <f t="shared" si="85"/>
        <v>Off</v>
      </c>
      <c r="AS320" t="str">
        <f t="shared" si="86"/>
        <v>Off</v>
      </c>
      <c r="AT320" t="str">
        <f t="shared" si="86"/>
        <v>Off</v>
      </c>
      <c r="AU320" t="str">
        <f t="shared" si="86"/>
        <v>Off</v>
      </c>
      <c r="AV320" t="str">
        <f t="shared" si="86"/>
        <v>Off</v>
      </c>
      <c r="AW320" t="str">
        <f t="shared" si="86"/>
        <v>Off</v>
      </c>
      <c r="AX320" t="str">
        <f t="shared" si="86"/>
        <v>Off</v>
      </c>
      <c r="AY320" t="str">
        <f t="shared" si="86"/>
        <v>Off</v>
      </c>
      <c r="AZ320" t="str">
        <f t="shared" si="86"/>
        <v>Off</v>
      </c>
      <c r="BA320" t="str">
        <f t="shared" si="86"/>
        <v>Off</v>
      </c>
      <c r="BB320" t="str">
        <f t="shared" si="86"/>
        <v>Off</v>
      </c>
      <c r="BC320" t="str">
        <f t="shared" si="87"/>
        <v>Off</v>
      </c>
      <c r="BD320" t="str">
        <f t="shared" si="87"/>
        <v>Off</v>
      </c>
      <c r="BE320" t="str">
        <f t="shared" si="87"/>
        <v>Off</v>
      </c>
      <c r="BF320" t="str">
        <f t="shared" si="87"/>
        <v>Off</v>
      </c>
      <c r="BG320" t="str">
        <f t="shared" si="87"/>
        <v>Off</v>
      </c>
      <c r="BH320" t="str">
        <f t="shared" si="87"/>
        <v>Off</v>
      </c>
      <c r="BI320" t="str">
        <f t="shared" si="87"/>
        <v>Off</v>
      </c>
      <c r="BJ320" t="str">
        <f t="shared" si="87"/>
        <v>Off</v>
      </c>
      <c r="BK320" t="str">
        <f t="shared" si="87"/>
        <v>Off</v>
      </c>
      <c r="BL320" t="str">
        <f t="shared" si="87"/>
        <v>Off</v>
      </c>
      <c r="BM320" t="str">
        <f t="shared" si="88"/>
        <v>Off</v>
      </c>
      <c r="BN320" t="str">
        <f t="shared" si="88"/>
        <v>Off</v>
      </c>
      <c r="BO320" t="str">
        <f t="shared" si="88"/>
        <v>Off</v>
      </c>
      <c r="BP320" t="str">
        <f t="shared" si="88"/>
        <v>Off</v>
      </c>
      <c r="BQ320" t="str">
        <f t="shared" si="88"/>
        <v>Off</v>
      </c>
      <c r="BR320" t="str">
        <f t="shared" si="88"/>
        <v>Off</v>
      </c>
      <c r="BS320" t="str">
        <f t="shared" si="88"/>
        <v>Off</v>
      </c>
      <c r="BT320" t="str">
        <f t="shared" si="88"/>
        <v>Off</v>
      </c>
      <c r="BU320" t="str">
        <f t="shared" si="88"/>
        <v>Off</v>
      </c>
      <c r="BV320" t="str">
        <f t="shared" si="88"/>
        <v>Off</v>
      </c>
      <c r="BW320" t="str">
        <f t="shared" si="89"/>
        <v>Off</v>
      </c>
      <c r="BX320" t="str">
        <f t="shared" si="89"/>
        <v>Off</v>
      </c>
      <c r="BY320" t="str">
        <f t="shared" si="89"/>
        <v>Off</v>
      </c>
      <c r="BZ320" t="str">
        <f t="shared" si="89"/>
        <v>Off</v>
      </c>
      <c r="CA320" t="str">
        <f t="shared" si="89"/>
        <v>Off</v>
      </c>
      <c r="CB320" t="str">
        <f t="shared" si="89"/>
        <v>Off</v>
      </c>
      <c r="CC320" t="str">
        <f t="shared" si="89"/>
        <v>Off</v>
      </c>
      <c r="CD320" t="str">
        <f t="shared" si="89"/>
        <v>Off</v>
      </c>
      <c r="CE320" t="str">
        <f t="shared" si="89"/>
        <v>Off</v>
      </c>
      <c r="CF320" t="str">
        <f t="shared" si="89"/>
        <v>Off</v>
      </c>
      <c r="CG320" t="str">
        <f t="shared" si="90"/>
        <v>Off</v>
      </c>
      <c r="CH320" t="str">
        <f t="shared" si="90"/>
        <v>Off</v>
      </c>
      <c r="CI320" t="str">
        <f t="shared" si="90"/>
        <v>Off</v>
      </c>
      <c r="CJ320" t="str">
        <f t="shared" si="90"/>
        <v>Off</v>
      </c>
      <c r="CK320" t="str">
        <f t="shared" si="90"/>
        <v>Off</v>
      </c>
      <c r="CL320" t="str">
        <f t="shared" si="90"/>
        <v>Off</v>
      </c>
      <c r="CM320" t="str">
        <f t="shared" si="90"/>
        <v>Off</v>
      </c>
      <c r="CN320" t="str">
        <f t="shared" si="90"/>
        <v>Off</v>
      </c>
      <c r="CO320" t="str">
        <f t="shared" si="90"/>
        <v>Off</v>
      </c>
      <c r="CP320" t="str">
        <f t="shared" si="90"/>
        <v>Off</v>
      </c>
      <c r="CQ320" t="str">
        <f t="shared" si="91"/>
        <v>Off</v>
      </c>
      <c r="CR320" t="str">
        <f t="shared" si="91"/>
        <v>Off</v>
      </c>
      <c r="CS320" t="str">
        <f t="shared" si="91"/>
        <v>Off</v>
      </c>
      <c r="CT320" t="str">
        <f t="shared" si="91"/>
        <v>Off</v>
      </c>
      <c r="CU320" t="str">
        <f t="shared" si="91"/>
        <v>Off</v>
      </c>
      <c r="CV320" t="str">
        <f t="shared" si="91"/>
        <v>Off</v>
      </c>
      <c r="CW320" t="str">
        <f t="shared" si="91"/>
        <v>Off</v>
      </c>
    </row>
    <row r="321" spans="1:101">
      <c r="A321">
        <v>31</v>
      </c>
      <c r="B321" t="str">
        <f t="shared" si="66"/>
        <v>On</v>
      </c>
      <c r="C321" t="str">
        <f t="shared" si="66"/>
        <v>On</v>
      </c>
      <c r="D321" t="str">
        <f t="shared" si="66"/>
        <v>On</v>
      </c>
      <c r="E321" t="str">
        <f t="shared" si="50"/>
        <v>Off</v>
      </c>
      <c r="F321" t="str">
        <f t="shared" si="67"/>
        <v>Off</v>
      </c>
      <c r="G321" t="str">
        <f t="shared" si="67"/>
        <v>Off</v>
      </c>
      <c r="H321" t="str">
        <f t="shared" si="82"/>
        <v>On</v>
      </c>
      <c r="I321" t="str">
        <f t="shared" si="52"/>
        <v>Off</v>
      </c>
      <c r="J321" t="str">
        <f t="shared" si="53"/>
        <v>Off</v>
      </c>
      <c r="K321" t="str">
        <f t="shared" si="63"/>
        <v>Off</v>
      </c>
      <c r="L321" t="str">
        <f t="shared" si="93"/>
        <v>Off</v>
      </c>
      <c r="M321" t="str">
        <f t="shared" si="94"/>
        <v>Off</v>
      </c>
      <c r="N321" t="str">
        <f t="shared" si="92"/>
        <v>Off</v>
      </c>
      <c r="O321" t="str">
        <f t="shared" si="83"/>
        <v>Off</v>
      </c>
      <c r="P321" t="str">
        <f t="shared" si="83"/>
        <v>Off</v>
      </c>
      <c r="Q321" t="str">
        <f t="shared" si="83"/>
        <v>Off</v>
      </c>
      <c r="R321" t="str">
        <f t="shared" si="83"/>
        <v>Off</v>
      </c>
      <c r="S321" t="str">
        <f t="shared" si="83"/>
        <v>Off</v>
      </c>
      <c r="T321" t="str">
        <f t="shared" si="83"/>
        <v>Off</v>
      </c>
      <c r="U321" t="str">
        <f t="shared" si="83"/>
        <v>Off</v>
      </c>
      <c r="V321" t="str">
        <f t="shared" si="83"/>
        <v>Off</v>
      </c>
      <c r="W321" t="str">
        <f t="shared" si="83"/>
        <v>Off</v>
      </c>
      <c r="X321" t="str">
        <f t="shared" si="83"/>
        <v>Off</v>
      </c>
      <c r="Y321" t="str">
        <f t="shared" si="84"/>
        <v>Off</v>
      </c>
      <c r="Z321" t="str">
        <f t="shared" si="84"/>
        <v>Off</v>
      </c>
      <c r="AA321" t="str">
        <f t="shared" si="84"/>
        <v>Off</v>
      </c>
      <c r="AB321" t="str">
        <f t="shared" si="84"/>
        <v>Off</v>
      </c>
      <c r="AC321" t="str">
        <f t="shared" si="84"/>
        <v>Off</v>
      </c>
      <c r="AD321" t="str">
        <f t="shared" si="84"/>
        <v>Off</v>
      </c>
      <c r="AE321" t="str">
        <f t="shared" si="84"/>
        <v>Off</v>
      </c>
      <c r="AF321" t="str">
        <f t="shared" si="84"/>
        <v>Off</v>
      </c>
      <c r="AG321" t="str">
        <f t="shared" si="84"/>
        <v>Off</v>
      </c>
      <c r="AH321" t="str">
        <f t="shared" si="84"/>
        <v>Off</v>
      </c>
      <c r="AI321" t="str">
        <f t="shared" si="85"/>
        <v>Off</v>
      </c>
      <c r="AJ321" t="str">
        <f t="shared" si="85"/>
        <v>Off</v>
      </c>
      <c r="AK321" t="str">
        <f t="shared" si="85"/>
        <v>Off</v>
      </c>
      <c r="AL321" t="str">
        <f t="shared" si="85"/>
        <v>Off</v>
      </c>
      <c r="AM321" t="str">
        <f t="shared" si="85"/>
        <v>Off</v>
      </c>
      <c r="AN321" t="str">
        <f t="shared" si="85"/>
        <v>Off</v>
      </c>
      <c r="AO321" t="str">
        <f t="shared" si="85"/>
        <v>Off</v>
      </c>
      <c r="AP321" t="str">
        <f t="shared" si="85"/>
        <v>Off</v>
      </c>
      <c r="AQ321" t="str">
        <f t="shared" si="85"/>
        <v>Off</v>
      </c>
      <c r="AR321" t="str">
        <f t="shared" si="85"/>
        <v>Off</v>
      </c>
      <c r="AS321" t="str">
        <f t="shared" si="86"/>
        <v>Off</v>
      </c>
      <c r="AT321" t="str">
        <f t="shared" si="86"/>
        <v>Off</v>
      </c>
      <c r="AU321" t="str">
        <f t="shared" si="86"/>
        <v>Off</v>
      </c>
      <c r="AV321" t="str">
        <f t="shared" si="86"/>
        <v>Off</v>
      </c>
      <c r="AW321" t="str">
        <f t="shared" si="86"/>
        <v>Off</v>
      </c>
      <c r="AX321" t="str">
        <f t="shared" si="86"/>
        <v>Off</v>
      </c>
      <c r="AY321" t="str">
        <f t="shared" si="86"/>
        <v>Off</v>
      </c>
      <c r="AZ321" t="str">
        <f t="shared" si="86"/>
        <v>Off</v>
      </c>
      <c r="BA321" t="str">
        <f t="shared" si="86"/>
        <v>Off</v>
      </c>
      <c r="BB321" t="str">
        <f t="shared" si="86"/>
        <v>Off</v>
      </c>
      <c r="BC321" t="str">
        <f t="shared" si="87"/>
        <v>Off</v>
      </c>
      <c r="BD321" t="str">
        <f t="shared" si="87"/>
        <v>Off</v>
      </c>
      <c r="BE321" t="str">
        <f t="shared" si="87"/>
        <v>Off</v>
      </c>
      <c r="BF321" t="str">
        <f t="shared" si="87"/>
        <v>Off</v>
      </c>
      <c r="BG321" t="str">
        <f t="shared" si="87"/>
        <v>Off</v>
      </c>
      <c r="BH321" t="str">
        <f t="shared" si="87"/>
        <v>Off</v>
      </c>
      <c r="BI321" t="str">
        <f t="shared" si="87"/>
        <v>Off</v>
      </c>
      <c r="BJ321" t="str">
        <f t="shared" si="87"/>
        <v>Off</v>
      </c>
      <c r="BK321" t="str">
        <f t="shared" si="87"/>
        <v>Off</v>
      </c>
      <c r="BL321" t="str">
        <f t="shared" si="87"/>
        <v>Off</v>
      </c>
      <c r="BM321" t="str">
        <f t="shared" si="88"/>
        <v>Off</v>
      </c>
      <c r="BN321" t="str">
        <f t="shared" si="88"/>
        <v>Off</v>
      </c>
      <c r="BO321" t="str">
        <f t="shared" si="88"/>
        <v>Off</v>
      </c>
      <c r="BP321" t="str">
        <f t="shared" si="88"/>
        <v>Off</v>
      </c>
      <c r="BQ321" t="str">
        <f t="shared" si="88"/>
        <v>Off</v>
      </c>
      <c r="BR321" t="str">
        <f t="shared" si="88"/>
        <v>Off</v>
      </c>
      <c r="BS321" t="str">
        <f t="shared" si="88"/>
        <v>Off</v>
      </c>
      <c r="BT321" t="str">
        <f t="shared" si="88"/>
        <v>Off</v>
      </c>
      <c r="BU321" t="str">
        <f t="shared" si="88"/>
        <v>Off</v>
      </c>
      <c r="BV321" t="str">
        <f t="shared" si="88"/>
        <v>Off</v>
      </c>
      <c r="BW321" t="str">
        <f t="shared" si="89"/>
        <v>Off</v>
      </c>
      <c r="BX321" t="str">
        <f t="shared" si="89"/>
        <v>Off</v>
      </c>
      <c r="BY321" t="str">
        <f t="shared" si="89"/>
        <v>Off</v>
      </c>
      <c r="BZ321" t="str">
        <f t="shared" si="89"/>
        <v>Off</v>
      </c>
      <c r="CA321" t="str">
        <f t="shared" si="89"/>
        <v>Off</v>
      </c>
      <c r="CB321" t="str">
        <f t="shared" si="89"/>
        <v>Off</v>
      </c>
      <c r="CC321" t="str">
        <f t="shared" si="89"/>
        <v>Off</v>
      </c>
      <c r="CD321" t="str">
        <f t="shared" si="89"/>
        <v>Off</v>
      </c>
      <c r="CE321" t="str">
        <f t="shared" si="89"/>
        <v>Off</v>
      </c>
      <c r="CF321" t="str">
        <f t="shared" si="89"/>
        <v>Off</v>
      </c>
      <c r="CG321" t="str">
        <f t="shared" si="90"/>
        <v>Off</v>
      </c>
      <c r="CH321" t="str">
        <f t="shared" si="90"/>
        <v>Off</v>
      </c>
      <c r="CI321" t="str">
        <f t="shared" si="90"/>
        <v>Off</v>
      </c>
      <c r="CJ321" t="str">
        <f t="shared" si="90"/>
        <v>Off</v>
      </c>
      <c r="CK321" t="str">
        <f t="shared" si="90"/>
        <v>Off</v>
      </c>
      <c r="CL321" t="str">
        <f t="shared" si="90"/>
        <v>Off</v>
      </c>
      <c r="CM321" t="str">
        <f t="shared" si="90"/>
        <v>Off</v>
      </c>
      <c r="CN321" t="str">
        <f t="shared" si="90"/>
        <v>Off</v>
      </c>
      <c r="CO321" t="str">
        <f t="shared" si="90"/>
        <v>Off</v>
      </c>
      <c r="CP321" t="str">
        <f t="shared" si="90"/>
        <v>Off</v>
      </c>
      <c r="CQ321" t="str">
        <f t="shared" si="91"/>
        <v>Off</v>
      </c>
      <c r="CR321" t="str">
        <f t="shared" si="91"/>
        <v>Off</v>
      </c>
      <c r="CS321" t="str">
        <f t="shared" si="91"/>
        <v>Off</v>
      </c>
      <c r="CT321" t="str">
        <f t="shared" si="91"/>
        <v>Off</v>
      </c>
      <c r="CU321" t="str">
        <f t="shared" si="91"/>
        <v>Off</v>
      </c>
      <c r="CV321" t="str">
        <f t="shared" si="91"/>
        <v>Off</v>
      </c>
      <c r="CW321" t="str">
        <f t="shared" si="91"/>
        <v>Off</v>
      </c>
    </row>
    <row r="322" spans="1:101">
      <c r="A322" t="s">
        <v>1454</v>
      </c>
      <c r="B322" t="str">
        <f t="shared" si="66"/>
        <v>On</v>
      </c>
      <c r="C322" t="str">
        <f t="shared" si="66"/>
        <v>On</v>
      </c>
      <c r="D322" t="str">
        <f t="shared" si="66"/>
        <v>On</v>
      </c>
      <c r="E322" t="str">
        <f t="shared" si="50"/>
        <v>Off</v>
      </c>
      <c r="F322" t="str">
        <f t="shared" si="67"/>
        <v>Off</v>
      </c>
      <c r="G322" t="str">
        <f t="shared" si="67"/>
        <v>Off</v>
      </c>
      <c r="H322" t="str">
        <f t="shared" ref="H322:H330" si="95">"Off"</f>
        <v>Off</v>
      </c>
      <c r="I322" t="str">
        <f t="shared" si="52"/>
        <v>Off</v>
      </c>
      <c r="J322" t="str">
        <f t="shared" si="53"/>
        <v>Off</v>
      </c>
      <c r="K322" t="str">
        <f t="shared" si="63"/>
        <v>Off</v>
      </c>
      <c r="L322" t="str">
        <f t="shared" si="93"/>
        <v>Off</v>
      </c>
      <c r="M322" t="str">
        <f t="shared" si="94"/>
        <v>Off</v>
      </c>
      <c r="N322" t="str">
        <f t="shared" si="92"/>
        <v>Off</v>
      </c>
      <c r="O322" t="str">
        <f t="shared" si="83"/>
        <v>Off</v>
      </c>
      <c r="P322" t="str">
        <f t="shared" si="83"/>
        <v>Off</v>
      </c>
      <c r="Q322" t="str">
        <f t="shared" si="83"/>
        <v>Off</v>
      </c>
      <c r="R322" t="str">
        <f t="shared" si="83"/>
        <v>Off</v>
      </c>
      <c r="S322" t="str">
        <f t="shared" si="83"/>
        <v>Off</v>
      </c>
      <c r="T322" t="str">
        <f t="shared" si="83"/>
        <v>Off</v>
      </c>
      <c r="U322" t="str">
        <f t="shared" si="83"/>
        <v>Off</v>
      </c>
      <c r="V322" t="str">
        <f t="shared" si="83"/>
        <v>Off</v>
      </c>
      <c r="W322" t="str">
        <f t="shared" si="83"/>
        <v>Off</v>
      </c>
      <c r="X322" t="str">
        <f t="shared" si="83"/>
        <v>Off</v>
      </c>
      <c r="Y322" t="str">
        <f t="shared" si="84"/>
        <v>Off</v>
      </c>
      <c r="Z322" t="str">
        <f t="shared" si="84"/>
        <v>Off</v>
      </c>
      <c r="AA322" t="str">
        <f t="shared" si="84"/>
        <v>Off</v>
      </c>
      <c r="AB322" t="str">
        <f t="shared" si="84"/>
        <v>Off</v>
      </c>
      <c r="AC322" t="str">
        <f t="shared" si="84"/>
        <v>Off</v>
      </c>
      <c r="AD322" t="str">
        <f t="shared" si="84"/>
        <v>Off</v>
      </c>
      <c r="AE322" t="str">
        <f t="shared" si="84"/>
        <v>Off</v>
      </c>
      <c r="AF322" t="str">
        <f t="shared" si="84"/>
        <v>Off</v>
      </c>
      <c r="AG322" t="str">
        <f t="shared" si="84"/>
        <v>Off</v>
      </c>
      <c r="AH322" t="str">
        <f t="shared" si="84"/>
        <v>Off</v>
      </c>
      <c r="AI322" t="str">
        <f t="shared" si="85"/>
        <v>Off</v>
      </c>
      <c r="AJ322" t="str">
        <f t="shared" si="85"/>
        <v>Off</v>
      </c>
      <c r="AK322" t="str">
        <f t="shared" si="85"/>
        <v>Off</v>
      </c>
      <c r="AL322" t="str">
        <f t="shared" si="85"/>
        <v>Off</v>
      </c>
      <c r="AM322" t="str">
        <f t="shared" si="85"/>
        <v>Off</v>
      </c>
      <c r="AN322" t="str">
        <f t="shared" si="85"/>
        <v>Off</v>
      </c>
      <c r="AO322" t="str">
        <f t="shared" si="85"/>
        <v>Off</v>
      </c>
      <c r="AP322" t="str">
        <f t="shared" si="85"/>
        <v>Off</v>
      </c>
      <c r="AQ322" t="str">
        <f t="shared" si="85"/>
        <v>Off</v>
      </c>
      <c r="AR322" t="str">
        <f t="shared" si="85"/>
        <v>Off</v>
      </c>
      <c r="AS322" t="str">
        <f t="shared" si="86"/>
        <v>Off</v>
      </c>
      <c r="AT322" t="str">
        <f t="shared" si="86"/>
        <v>Off</v>
      </c>
      <c r="AU322" t="str">
        <f t="shared" si="86"/>
        <v>Off</v>
      </c>
      <c r="AV322" t="str">
        <f t="shared" si="86"/>
        <v>Off</v>
      </c>
      <c r="AW322" t="str">
        <f t="shared" si="86"/>
        <v>Off</v>
      </c>
      <c r="AX322" t="str">
        <f t="shared" si="86"/>
        <v>Off</v>
      </c>
      <c r="AY322" t="str">
        <f t="shared" si="86"/>
        <v>Off</v>
      </c>
      <c r="AZ322" t="str">
        <f t="shared" si="86"/>
        <v>Off</v>
      </c>
      <c r="BA322" t="str">
        <f t="shared" si="86"/>
        <v>Off</v>
      </c>
      <c r="BB322" t="str">
        <f t="shared" si="86"/>
        <v>Off</v>
      </c>
      <c r="BC322" t="str">
        <f t="shared" si="87"/>
        <v>Off</v>
      </c>
      <c r="BD322" t="str">
        <f t="shared" si="87"/>
        <v>Off</v>
      </c>
      <c r="BE322" t="str">
        <f t="shared" si="87"/>
        <v>Off</v>
      </c>
      <c r="BF322" t="str">
        <f t="shared" si="87"/>
        <v>Off</v>
      </c>
      <c r="BG322" t="str">
        <f t="shared" si="87"/>
        <v>Off</v>
      </c>
      <c r="BH322" t="str">
        <f t="shared" si="87"/>
        <v>Off</v>
      </c>
      <c r="BI322" t="str">
        <f t="shared" si="87"/>
        <v>Off</v>
      </c>
      <c r="BJ322" t="str">
        <f t="shared" si="87"/>
        <v>Off</v>
      </c>
      <c r="BK322" t="str">
        <f t="shared" si="87"/>
        <v>Off</v>
      </c>
      <c r="BL322" t="str">
        <f t="shared" si="87"/>
        <v>Off</v>
      </c>
      <c r="BM322" t="str">
        <f t="shared" si="88"/>
        <v>Off</v>
      </c>
      <c r="BN322" t="str">
        <f t="shared" si="88"/>
        <v>Off</v>
      </c>
      <c r="BO322" t="str">
        <f t="shared" si="88"/>
        <v>Off</v>
      </c>
      <c r="BP322" t="str">
        <f t="shared" si="88"/>
        <v>Off</v>
      </c>
      <c r="BQ322" t="str">
        <f t="shared" si="88"/>
        <v>Off</v>
      </c>
      <c r="BR322" t="str">
        <f t="shared" si="88"/>
        <v>Off</v>
      </c>
      <c r="BS322" t="str">
        <f t="shared" si="88"/>
        <v>Off</v>
      </c>
      <c r="BT322" t="str">
        <f t="shared" si="88"/>
        <v>Off</v>
      </c>
      <c r="BU322" t="str">
        <f t="shared" si="88"/>
        <v>Off</v>
      </c>
      <c r="BV322" t="str">
        <f t="shared" si="88"/>
        <v>Off</v>
      </c>
      <c r="BW322" t="str">
        <f t="shared" si="89"/>
        <v>Off</v>
      </c>
      <c r="BX322" t="str">
        <f t="shared" si="89"/>
        <v>Off</v>
      </c>
      <c r="BY322" t="str">
        <f t="shared" si="89"/>
        <v>Off</v>
      </c>
      <c r="BZ322" t="str">
        <f t="shared" si="89"/>
        <v>Off</v>
      </c>
      <c r="CA322" t="str">
        <f t="shared" si="89"/>
        <v>Off</v>
      </c>
      <c r="CB322" t="str">
        <f t="shared" si="89"/>
        <v>Off</v>
      </c>
      <c r="CC322" t="str">
        <f t="shared" si="89"/>
        <v>Off</v>
      </c>
      <c r="CD322" t="str">
        <f t="shared" si="89"/>
        <v>Off</v>
      </c>
      <c r="CE322" t="str">
        <f t="shared" si="89"/>
        <v>Off</v>
      </c>
      <c r="CF322" t="str">
        <f t="shared" si="89"/>
        <v>Off</v>
      </c>
      <c r="CG322" t="str">
        <f t="shared" si="90"/>
        <v>Off</v>
      </c>
      <c r="CH322" t="str">
        <f t="shared" si="90"/>
        <v>Off</v>
      </c>
      <c r="CI322" t="str">
        <f t="shared" si="90"/>
        <v>Off</v>
      </c>
      <c r="CJ322" t="str">
        <f t="shared" si="90"/>
        <v>Off</v>
      </c>
      <c r="CK322" t="str">
        <f t="shared" si="90"/>
        <v>Off</v>
      </c>
      <c r="CL322" t="str">
        <f t="shared" si="90"/>
        <v>Off</v>
      </c>
      <c r="CM322" t="str">
        <f t="shared" si="90"/>
        <v>Off</v>
      </c>
      <c r="CN322" t="str">
        <f t="shared" si="90"/>
        <v>Off</v>
      </c>
      <c r="CO322" t="str">
        <f t="shared" si="90"/>
        <v>Off</v>
      </c>
      <c r="CP322" t="str">
        <f t="shared" si="90"/>
        <v>Off</v>
      </c>
      <c r="CQ322" t="str">
        <f t="shared" si="91"/>
        <v>Off</v>
      </c>
      <c r="CR322" t="str">
        <f t="shared" si="91"/>
        <v>Off</v>
      </c>
      <c r="CS322" t="str">
        <f t="shared" si="91"/>
        <v>Off</v>
      </c>
      <c r="CT322" t="str">
        <f t="shared" si="91"/>
        <v>Off</v>
      </c>
      <c r="CU322" t="str">
        <f t="shared" si="91"/>
        <v>Off</v>
      </c>
      <c r="CV322" t="str">
        <f t="shared" si="91"/>
        <v>Off</v>
      </c>
      <c r="CW322" t="str">
        <f t="shared" si="91"/>
        <v>Off</v>
      </c>
    </row>
    <row r="323" spans="1:101">
      <c r="A323" t="s">
        <v>1455</v>
      </c>
      <c r="B323" t="str">
        <f t="shared" si="66"/>
        <v>On</v>
      </c>
      <c r="C323" t="str">
        <f t="shared" si="66"/>
        <v>On</v>
      </c>
      <c r="D323" t="str">
        <f t="shared" si="66"/>
        <v>On</v>
      </c>
      <c r="E323" t="str">
        <f t="shared" si="50"/>
        <v>Off</v>
      </c>
      <c r="F323" t="str">
        <f t="shared" si="67"/>
        <v>Off</v>
      </c>
      <c r="G323" t="str">
        <f t="shared" si="67"/>
        <v>Off</v>
      </c>
      <c r="H323" t="str">
        <f t="shared" si="95"/>
        <v>Off</v>
      </c>
      <c r="I323" t="str">
        <f t="shared" si="52"/>
        <v>Off</v>
      </c>
      <c r="J323" t="str">
        <f t="shared" si="53"/>
        <v>Off</v>
      </c>
      <c r="K323" t="str">
        <f t="shared" si="63"/>
        <v>Off</v>
      </c>
      <c r="L323" t="str">
        <f t="shared" si="93"/>
        <v>Off</v>
      </c>
      <c r="M323" t="str">
        <f t="shared" si="94"/>
        <v>Off</v>
      </c>
      <c r="N323" t="str">
        <f t="shared" si="92"/>
        <v>Off</v>
      </c>
      <c r="O323" t="str">
        <f t="shared" si="83"/>
        <v>Off</v>
      </c>
      <c r="P323" t="str">
        <f t="shared" si="83"/>
        <v>Off</v>
      </c>
      <c r="Q323" t="str">
        <f t="shared" si="83"/>
        <v>Off</v>
      </c>
      <c r="R323" t="str">
        <f t="shared" si="83"/>
        <v>Off</v>
      </c>
      <c r="S323" t="str">
        <f t="shared" si="83"/>
        <v>Off</v>
      </c>
      <c r="T323" t="str">
        <f t="shared" si="83"/>
        <v>Off</v>
      </c>
      <c r="U323" t="str">
        <f t="shared" si="83"/>
        <v>Off</v>
      </c>
      <c r="V323" t="str">
        <f t="shared" si="83"/>
        <v>Off</v>
      </c>
      <c r="W323" t="str">
        <f t="shared" si="83"/>
        <v>Off</v>
      </c>
      <c r="X323" t="str">
        <f t="shared" si="83"/>
        <v>Off</v>
      </c>
      <c r="Y323" t="str">
        <f t="shared" si="84"/>
        <v>Off</v>
      </c>
      <c r="Z323" t="str">
        <f t="shared" si="84"/>
        <v>Off</v>
      </c>
      <c r="AA323" t="str">
        <f t="shared" si="84"/>
        <v>Off</v>
      </c>
      <c r="AB323" t="str">
        <f t="shared" si="84"/>
        <v>Off</v>
      </c>
      <c r="AC323" t="str">
        <f t="shared" si="84"/>
        <v>Off</v>
      </c>
      <c r="AD323" t="str">
        <f t="shared" si="84"/>
        <v>Off</v>
      </c>
      <c r="AE323" t="str">
        <f t="shared" si="84"/>
        <v>Off</v>
      </c>
      <c r="AF323" t="str">
        <f t="shared" si="84"/>
        <v>Off</v>
      </c>
      <c r="AG323" t="str">
        <f t="shared" si="84"/>
        <v>Off</v>
      </c>
      <c r="AH323" t="str">
        <f t="shared" si="84"/>
        <v>Off</v>
      </c>
      <c r="AI323" t="str">
        <f t="shared" si="85"/>
        <v>Off</v>
      </c>
      <c r="AJ323" t="str">
        <f t="shared" si="85"/>
        <v>Off</v>
      </c>
      <c r="AK323" t="str">
        <f t="shared" si="85"/>
        <v>Off</v>
      </c>
      <c r="AL323" t="str">
        <f t="shared" si="85"/>
        <v>Off</v>
      </c>
      <c r="AM323" t="str">
        <f t="shared" si="85"/>
        <v>Off</v>
      </c>
      <c r="AN323" t="str">
        <f t="shared" si="85"/>
        <v>Off</v>
      </c>
      <c r="AO323" t="str">
        <f t="shared" si="85"/>
        <v>Off</v>
      </c>
      <c r="AP323" t="str">
        <f t="shared" si="85"/>
        <v>Off</v>
      </c>
      <c r="AQ323" t="str">
        <f t="shared" si="85"/>
        <v>Off</v>
      </c>
      <c r="AR323" t="str">
        <f t="shared" si="85"/>
        <v>Off</v>
      </c>
      <c r="AS323" t="str">
        <f t="shared" si="86"/>
        <v>Off</v>
      </c>
      <c r="AT323" t="str">
        <f t="shared" si="86"/>
        <v>Off</v>
      </c>
      <c r="AU323" t="str">
        <f t="shared" si="86"/>
        <v>Off</v>
      </c>
      <c r="AV323" t="str">
        <f t="shared" si="86"/>
        <v>Off</v>
      </c>
      <c r="AW323" t="str">
        <f t="shared" si="86"/>
        <v>Off</v>
      </c>
      <c r="AX323" t="str">
        <f t="shared" si="86"/>
        <v>Off</v>
      </c>
      <c r="AY323" t="str">
        <f t="shared" si="86"/>
        <v>Off</v>
      </c>
      <c r="AZ323" t="str">
        <f t="shared" si="86"/>
        <v>Off</v>
      </c>
      <c r="BA323" t="str">
        <f t="shared" si="86"/>
        <v>Off</v>
      </c>
      <c r="BB323" t="str">
        <f t="shared" si="86"/>
        <v>Off</v>
      </c>
      <c r="BC323" t="str">
        <f t="shared" si="87"/>
        <v>Off</v>
      </c>
      <c r="BD323" t="str">
        <f t="shared" si="87"/>
        <v>Off</v>
      </c>
      <c r="BE323" t="str">
        <f t="shared" si="87"/>
        <v>Off</v>
      </c>
      <c r="BF323" t="str">
        <f t="shared" si="87"/>
        <v>Off</v>
      </c>
      <c r="BG323" t="str">
        <f t="shared" si="87"/>
        <v>Off</v>
      </c>
      <c r="BH323" t="str">
        <f t="shared" si="87"/>
        <v>Off</v>
      </c>
      <c r="BI323" t="str">
        <f t="shared" si="87"/>
        <v>Off</v>
      </c>
      <c r="BJ323" t="str">
        <f t="shared" si="87"/>
        <v>Off</v>
      </c>
      <c r="BK323" t="str">
        <f t="shared" si="87"/>
        <v>Off</v>
      </c>
      <c r="BL323" t="str">
        <f t="shared" si="87"/>
        <v>Off</v>
      </c>
      <c r="BM323" t="str">
        <f t="shared" si="88"/>
        <v>Off</v>
      </c>
      <c r="BN323" t="str">
        <f t="shared" si="88"/>
        <v>Off</v>
      </c>
      <c r="BO323" t="str">
        <f t="shared" si="88"/>
        <v>Off</v>
      </c>
      <c r="BP323" t="str">
        <f t="shared" si="88"/>
        <v>Off</v>
      </c>
      <c r="BQ323" t="str">
        <f t="shared" si="88"/>
        <v>Off</v>
      </c>
      <c r="BR323" t="str">
        <f t="shared" si="88"/>
        <v>Off</v>
      </c>
      <c r="BS323" t="str">
        <f t="shared" si="88"/>
        <v>Off</v>
      </c>
      <c r="BT323" t="str">
        <f t="shared" si="88"/>
        <v>Off</v>
      </c>
      <c r="BU323" t="str">
        <f t="shared" si="88"/>
        <v>Off</v>
      </c>
      <c r="BV323" t="str">
        <f t="shared" si="88"/>
        <v>Off</v>
      </c>
      <c r="BW323" t="str">
        <f t="shared" si="89"/>
        <v>Off</v>
      </c>
      <c r="BX323" t="str">
        <f t="shared" si="89"/>
        <v>Off</v>
      </c>
      <c r="BY323" t="str">
        <f t="shared" si="89"/>
        <v>Off</v>
      </c>
      <c r="BZ323" t="str">
        <f t="shared" si="89"/>
        <v>Off</v>
      </c>
      <c r="CA323" t="str">
        <f t="shared" si="89"/>
        <v>Off</v>
      </c>
      <c r="CB323" t="str">
        <f t="shared" si="89"/>
        <v>Off</v>
      </c>
      <c r="CC323" t="str">
        <f t="shared" si="89"/>
        <v>Off</v>
      </c>
      <c r="CD323" t="str">
        <f t="shared" si="89"/>
        <v>Off</v>
      </c>
      <c r="CE323" t="str">
        <f t="shared" si="89"/>
        <v>Off</v>
      </c>
      <c r="CF323" t="str">
        <f t="shared" si="89"/>
        <v>Off</v>
      </c>
      <c r="CG323" t="str">
        <f t="shared" si="90"/>
        <v>Off</v>
      </c>
      <c r="CH323" t="str">
        <f t="shared" si="90"/>
        <v>Off</v>
      </c>
      <c r="CI323" t="str">
        <f t="shared" si="90"/>
        <v>Off</v>
      </c>
      <c r="CJ323" t="str">
        <f t="shared" si="90"/>
        <v>Off</v>
      </c>
      <c r="CK323" t="str">
        <f t="shared" si="90"/>
        <v>Off</v>
      </c>
      <c r="CL323" t="str">
        <f t="shared" si="90"/>
        <v>Off</v>
      </c>
      <c r="CM323" t="str">
        <f t="shared" si="90"/>
        <v>Off</v>
      </c>
      <c r="CN323" t="str">
        <f t="shared" si="90"/>
        <v>Off</v>
      </c>
      <c r="CO323" t="str">
        <f t="shared" si="90"/>
        <v>Off</v>
      </c>
      <c r="CP323" t="str">
        <f t="shared" si="90"/>
        <v>Off</v>
      </c>
      <c r="CQ323" t="str">
        <f t="shared" si="91"/>
        <v>Off</v>
      </c>
      <c r="CR323" t="str">
        <f t="shared" si="91"/>
        <v>Off</v>
      </c>
      <c r="CS323" t="str">
        <f t="shared" si="91"/>
        <v>Off</v>
      </c>
      <c r="CT323" t="str">
        <f t="shared" si="91"/>
        <v>Off</v>
      </c>
      <c r="CU323" t="str">
        <f t="shared" si="91"/>
        <v>Off</v>
      </c>
      <c r="CV323" t="str">
        <f t="shared" si="91"/>
        <v>Off</v>
      </c>
      <c r="CW323" t="str">
        <f t="shared" si="91"/>
        <v>Off</v>
      </c>
    </row>
    <row r="324" spans="1:101">
      <c r="A324" t="s">
        <v>1456</v>
      </c>
      <c r="B324" t="str">
        <f t="shared" si="66"/>
        <v>On</v>
      </c>
      <c r="C324" t="str">
        <f t="shared" si="66"/>
        <v>On</v>
      </c>
      <c r="D324" t="str">
        <f t="shared" si="66"/>
        <v>On</v>
      </c>
      <c r="E324" t="str">
        <f t="shared" si="50"/>
        <v>Off</v>
      </c>
      <c r="F324" t="str">
        <f t="shared" si="67"/>
        <v>Off</v>
      </c>
      <c r="G324" t="str">
        <f t="shared" si="67"/>
        <v>Off</v>
      </c>
      <c r="H324" t="str">
        <f t="shared" si="95"/>
        <v>Off</v>
      </c>
      <c r="I324" t="str">
        <f t="shared" si="52"/>
        <v>Off</v>
      </c>
      <c r="J324" t="str">
        <f t="shared" si="53"/>
        <v>Off</v>
      </c>
      <c r="K324" t="str">
        <f t="shared" si="63"/>
        <v>Off</v>
      </c>
      <c r="L324" t="str">
        <f t="shared" si="93"/>
        <v>Off</v>
      </c>
      <c r="M324" t="str">
        <f t="shared" si="94"/>
        <v>Off</v>
      </c>
      <c r="N324" t="str">
        <f>"On"</f>
        <v>On</v>
      </c>
      <c r="O324" t="str">
        <f t="shared" si="83"/>
        <v>Off</v>
      </c>
      <c r="P324" t="str">
        <f t="shared" si="83"/>
        <v>Off</v>
      </c>
      <c r="Q324" t="str">
        <f t="shared" si="83"/>
        <v>Off</v>
      </c>
      <c r="R324" t="str">
        <f t="shared" si="83"/>
        <v>Off</v>
      </c>
      <c r="S324" t="str">
        <f t="shared" si="83"/>
        <v>Off</v>
      </c>
      <c r="T324" t="str">
        <f t="shared" si="83"/>
        <v>Off</v>
      </c>
      <c r="U324" t="str">
        <f t="shared" si="83"/>
        <v>Off</v>
      </c>
      <c r="V324" t="str">
        <f t="shared" si="83"/>
        <v>Off</v>
      </c>
      <c r="W324" t="str">
        <f t="shared" si="83"/>
        <v>Off</v>
      </c>
      <c r="X324" t="str">
        <f t="shared" si="83"/>
        <v>Off</v>
      </c>
      <c r="Y324" t="str">
        <f t="shared" si="84"/>
        <v>Off</v>
      </c>
      <c r="Z324" t="str">
        <f t="shared" si="84"/>
        <v>Off</v>
      </c>
      <c r="AA324" t="str">
        <f t="shared" si="84"/>
        <v>Off</v>
      </c>
      <c r="AB324" t="str">
        <f t="shared" si="84"/>
        <v>Off</v>
      </c>
      <c r="AC324" t="str">
        <f t="shared" si="84"/>
        <v>Off</v>
      </c>
      <c r="AD324" t="str">
        <f t="shared" si="84"/>
        <v>Off</v>
      </c>
      <c r="AE324" t="str">
        <f t="shared" si="84"/>
        <v>Off</v>
      </c>
      <c r="AF324" t="str">
        <f t="shared" si="84"/>
        <v>Off</v>
      </c>
      <c r="AG324" t="str">
        <f t="shared" si="84"/>
        <v>Off</v>
      </c>
      <c r="AH324" t="str">
        <f t="shared" si="84"/>
        <v>Off</v>
      </c>
      <c r="AI324" t="str">
        <f t="shared" si="85"/>
        <v>Off</v>
      </c>
      <c r="AJ324" t="str">
        <f t="shared" si="85"/>
        <v>Off</v>
      </c>
      <c r="AK324" t="str">
        <f t="shared" si="85"/>
        <v>Off</v>
      </c>
      <c r="AL324" t="str">
        <f t="shared" si="85"/>
        <v>Off</v>
      </c>
      <c r="AM324" t="str">
        <f t="shared" si="85"/>
        <v>Off</v>
      </c>
      <c r="AN324" t="str">
        <f t="shared" si="85"/>
        <v>Off</v>
      </c>
      <c r="AO324" t="str">
        <f t="shared" si="85"/>
        <v>Off</v>
      </c>
      <c r="AP324" t="str">
        <f t="shared" si="85"/>
        <v>Off</v>
      </c>
      <c r="AQ324" t="str">
        <f t="shared" si="85"/>
        <v>Off</v>
      </c>
      <c r="AR324" t="str">
        <f t="shared" si="85"/>
        <v>Off</v>
      </c>
      <c r="AS324" t="str">
        <f t="shared" si="86"/>
        <v>Off</v>
      </c>
      <c r="AT324" t="str">
        <f t="shared" si="86"/>
        <v>Off</v>
      </c>
      <c r="AU324" t="str">
        <f t="shared" si="86"/>
        <v>Off</v>
      </c>
      <c r="AV324" t="str">
        <f t="shared" si="86"/>
        <v>Off</v>
      </c>
      <c r="AW324" t="str">
        <f t="shared" si="86"/>
        <v>Off</v>
      </c>
      <c r="AX324" t="str">
        <f t="shared" si="86"/>
        <v>Off</v>
      </c>
      <c r="AY324" t="str">
        <f t="shared" si="86"/>
        <v>Off</v>
      </c>
      <c r="AZ324" t="str">
        <f t="shared" si="86"/>
        <v>Off</v>
      </c>
      <c r="BA324" t="str">
        <f t="shared" si="86"/>
        <v>Off</v>
      </c>
      <c r="BB324" t="str">
        <f t="shared" si="86"/>
        <v>Off</v>
      </c>
      <c r="BC324" t="str">
        <f t="shared" si="87"/>
        <v>Off</v>
      </c>
      <c r="BD324" t="str">
        <f t="shared" si="87"/>
        <v>Off</v>
      </c>
      <c r="BE324" t="str">
        <f t="shared" si="87"/>
        <v>Off</v>
      </c>
      <c r="BF324" t="str">
        <f t="shared" si="87"/>
        <v>Off</v>
      </c>
      <c r="BG324" t="str">
        <f t="shared" si="87"/>
        <v>Off</v>
      </c>
      <c r="BH324" t="str">
        <f t="shared" si="87"/>
        <v>Off</v>
      </c>
      <c r="BI324" t="str">
        <f t="shared" si="87"/>
        <v>Off</v>
      </c>
      <c r="BJ324" t="str">
        <f t="shared" si="87"/>
        <v>Off</v>
      </c>
      <c r="BK324" t="str">
        <f t="shared" si="87"/>
        <v>Off</v>
      </c>
      <c r="BL324" t="str">
        <f t="shared" si="87"/>
        <v>Off</v>
      </c>
      <c r="BM324" t="str">
        <f t="shared" si="88"/>
        <v>Off</v>
      </c>
      <c r="BN324" t="str">
        <f t="shared" si="88"/>
        <v>Off</v>
      </c>
      <c r="BO324" t="str">
        <f t="shared" si="88"/>
        <v>Off</v>
      </c>
      <c r="BP324" t="str">
        <f t="shared" si="88"/>
        <v>Off</v>
      </c>
      <c r="BQ324" t="str">
        <f t="shared" si="88"/>
        <v>Off</v>
      </c>
      <c r="BR324" t="str">
        <f t="shared" si="88"/>
        <v>Off</v>
      </c>
      <c r="BS324" t="str">
        <f t="shared" si="88"/>
        <v>Off</v>
      </c>
      <c r="BT324" t="str">
        <f t="shared" si="88"/>
        <v>Off</v>
      </c>
      <c r="BU324" t="str">
        <f t="shared" si="88"/>
        <v>Off</v>
      </c>
      <c r="BV324" t="str">
        <f t="shared" si="88"/>
        <v>Off</v>
      </c>
      <c r="BW324" t="str">
        <f t="shared" si="89"/>
        <v>Off</v>
      </c>
      <c r="BX324" t="str">
        <f t="shared" si="89"/>
        <v>Off</v>
      </c>
      <c r="BY324" t="str">
        <f t="shared" si="89"/>
        <v>Off</v>
      </c>
      <c r="BZ324" t="str">
        <f t="shared" si="89"/>
        <v>Off</v>
      </c>
      <c r="CA324" t="str">
        <f t="shared" si="89"/>
        <v>Off</v>
      </c>
      <c r="CB324" t="str">
        <f t="shared" si="89"/>
        <v>Off</v>
      </c>
      <c r="CC324" t="str">
        <f t="shared" si="89"/>
        <v>Off</v>
      </c>
      <c r="CD324" t="str">
        <f t="shared" si="89"/>
        <v>Off</v>
      </c>
      <c r="CE324" t="str">
        <f t="shared" si="89"/>
        <v>Off</v>
      </c>
      <c r="CF324" t="str">
        <f t="shared" si="89"/>
        <v>Off</v>
      </c>
      <c r="CG324" t="str">
        <f t="shared" si="90"/>
        <v>Off</v>
      </c>
      <c r="CH324" t="str">
        <f t="shared" si="90"/>
        <v>Off</v>
      </c>
      <c r="CI324" t="str">
        <f t="shared" si="90"/>
        <v>Off</v>
      </c>
      <c r="CJ324" t="str">
        <f t="shared" si="90"/>
        <v>Off</v>
      </c>
      <c r="CK324" t="str">
        <f t="shared" si="90"/>
        <v>Off</v>
      </c>
      <c r="CL324" t="str">
        <f t="shared" si="90"/>
        <v>Off</v>
      </c>
      <c r="CM324" t="str">
        <f t="shared" si="90"/>
        <v>Off</v>
      </c>
      <c r="CN324" t="str">
        <f t="shared" si="90"/>
        <v>Off</v>
      </c>
      <c r="CO324" t="str">
        <f t="shared" si="90"/>
        <v>Off</v>
      </c>
      <c r="CP324" t="str">
        <f t="shared" si="90"/>
        <v>Off</v>
      </c>
      <c r="CQ324" t="str">
        <f t="shared" si="91"/>
        <v>Off</v>
      </c>
      <c r="CR324" t="str">
        <f t="shared" si="91"/>
        <v>Off</v>
      </c>
      <c r="CS324" t="str">
        <f t="shared" si="91"/>
        <v>Off</v>
      </c>
      <c r="CT324" t="str">
        <f t="shared" si="91"/>
        <v>Off</v>
      </c>
      <c r="CU324" t="str">
        <f t="shared" si="91"/>
        <v>Off</v>
      </c>
      <c r="CV324" t="str">
        <f t="shared" si="91"/>
        <v>Off</v>
      </c>
      <c r="CW324" t="str">
        <f t="shared" si="91"/>
        <v>Off</v>
      </c>
    </row>
    <row r="325" spans="1:101">
      <c r="A325" t="s">
        <v>1457</v>
      </c>
      <c r="B325" t="str">
        <f t="shared" si="66"/>
        <v>On</v>
      </c>
      <c r="C325" t="str">
        <f t="shared" si="66"/>
        <v>On</v>
      </c>
      <c r="D325" t="str">
        <f t="shared" si="66"/>
        <v>On</v>
      </c>
      <c r="E325" t="str">
        <f t="shared" si="50"/>
        <v>Off</v>
      </c>
      <c r="F325" t="str">
        <f>"Off"</f>
        <v>Off</v>
      </c>
      <c r="G325" t="str">
        <f>"On"</f>
        <v>On</v>
      </c>
      <c r="H325" t="str">
        <f t="shared" si="95"/>
        <v>Off</v>
      </c>
      <c r="I325" t="str">
        <f t="shared" si="52"/>
        <v>Off</v>
      </c>
      <c r="J325" t="str">
        <f t="shared" si="53"/>
        <v>Off</v>
      </c>
      <c r="K325" t="str">
        <f t="shared" si="63"/>
        <v>Off</v>
      </c>
      <c r="L325" t="str">
        <f t="shared" si="93"/>
        <v>Off</v>
      </c>
      <c r="M325" t="str">
        <f t="shared" si="94"/>
        <v>Off</v>
      </c>
      <c r="N325" t="str">
        <f>"Off"</f>
        <v>Off</v>
      </c>
      <c r="O325" t="str">
        <f t="shared" ref="O325:X334" si="96">"Off"</f>
        <v>Off</v>
      </c>
      <c r="P325" t="str">
        <f t="shared" si="96"/>
        <v>Off</v>
      </c>
      <c r="Q325" t="str">
        <f t="shared" si="96"/>
        <v>Off</v>
      </c>
      <c r="R325" t="str">
        <f t="shared" si="96"/>
        <v>Off</v>
      </c>
      <c r="S325" t="str">
        <f t="shared" si="96"/>
        <v>Off</v>
      </c>
      <c r="T325" t="str">
        <f t="shared" si="96"/>
        <v>Off</v>
      </c>
      <c r="U325" t="str">
        <f t="shared" si="96"/>
        <v>Off</v>
      </c>
      <c r="V325" t="str">
        <f t="shared" si="96"/>
        <v>Off</v>
      </c>
      <c r="W325" t="str">
        <f t="shared" si="96"/>
        <v>Off</v>
      </c>
      <c r="X325" t="str">
        <f t="shared" si="96"/>
        <v>Off</v>
      </c>
      <c r="Y325" t="str">
        <f t="shared" ref="Y325:AH334" si="97">"Off"</f>
        <v>Off</v>
      </c>
      <c r="Z325" t="str">
        <f t="shared" si="97"/>
        <v>Off</v>
      </c>
      <c r="AA325" t="str">
        <f t="shared" si="97"/>
        <v>Off</v>
      </c>
      <c r="AB325" t="str">
        <f t="shared" si="97"/>
        <v>Off</v>
      </c>
      <c r="AC325" t="str">
        <f t="shared" si="97"/>
        <v>Off</v>
      </c>
      <c r="AD325" t="str">
        <f t="shared" si="97"/>
        <v>Off</v>
      </c>
      <c r="AE325" t="str">
        <f t="shared" si="97"/>
        <v>Off</v>
      </c>
      <c r="AF325" t="str">
        <f t="shared" si="97"/>
        <v>Off</v>
      </c>
      <c r="AG325" t="str">
        <f t="shared" si="97"/>
        <v>Off</v>
      </c>
      <c r="AH325" t="str">
        <f t="shared" si="97"/>
        <v>Off</v>
      </c>
      <c r="AI325" t="str">
        <f t="shared" ref="AI325:AR334" si="98">"Off"</f>
        <v>Off</v>
      </c>
      <c r="AJ325" t="str">
        <f t="shared" si="98"/>
        <v>Off</v>
      </c>
      <c r="AK325" t="str">
        <f t="shared" si="98"/>
        <v>Off</v>
      </c>
      <c r="AL325" t="str">
        <f t="shared" si="98"/>
        <v>Off</v>
      </c>
      <c r="AM325" t="str">
        <f t="shared" si="98"/>
        <v>Off</v>
      </c>
      <c r="AN325" t="str">
        <f t="shared" si="98"/>
        <v>Off</v>
      </c>
      <c r="AO325" t="str">
        <f t="shared" si="98"/>
        <v>Off</v>
      </c>
      <c r="AP325" t="str">
        <f t="shared" si="98"/>
        <v>Off</v>
      </c>
      <c r="AQ325" t="str">
        <f t="shared" si="98"/>
        <v>Off</v>
      </c>
      <c r="AR325" t="str">
        <f t="shared" si="98"/>
        <v>Off</v>
      </c>
      <c r="AS325" t="str">
        <f t="shared" ref="AS325:BB334" si="99">"Off"</f>
        <v>Off</v>
      </c>
      <c r="AT325" t="str">
        <f t="shared" si="99"/>
        <v>Off</v>
      </c>
      <c r="AU325" t="str">
        <f t="shared" si="99"/>
        <v>Off</v>
      </c>
      <c r="AV325" t="str">
        <f t="shared" si="99"/>
        <v>Off</v>
      </c>
      <c r="AW325" t="str">
        <f t="shared" si="99"/>
        <v>Off</v>
      </c>
      <c r="AX325" t="str">
        <f t="shared" si="99"/>
        <v>Off</v>
      </c>
      <c r="AY325" t="str">
        <f t="shared" si="99"/>
        <v>Off</v>
      </c>
      <c r="AZ325" t="str">
        <f t="shared" si="99"/>
        <v>Off</v>
      </c>
      <c r="BA325" t="str">
        <f t="shared" si="99"/>
        <v>Off</v>
      </c>
      <c r="BB325" t="str">
        <f t="shared" si="99"/>
        <v>Off</v>
      </c>
      <c r="BC325" t="str">
        <f t="shared" ref="BC325:BL334" si="100">"Off"</f>
        <v>Off</v>
      </c>
      <c r="BD325" t="str">
        <f t="shared" si="100"/>
        <v>Off</v>
      </c>
      <c r="BE325" t="str">
        <f t="shared" si="100"/>
        <v>Off</v>
      </c>
      <c r="BF325" t="str">
        <f t="shared" si="100"/>
        <v>Off</v>
      </c>
      <c r="BG325" t="str">
        <f t="shared" si="100"/>
        <v>Off</v>
      </c>
      <c r="BH325" t="str">
        <f t="shared" si="100"/>
        <v>Off</v>
      </c>
      <c r="BI325" t="str">
        <f t="shared" si="100"/>
        <v>Off</v>
      </c>
      <c r="BJ325" t="str">
        <f t="shared" si="100"/>
        <v>Off</v>
      </c>
      <c r="BK325" t="str">
        <f t="shared" si="100"/>
        <v>Off</v>
      </c>
      <c r="BL325" t="str">
        <f t="shared" si="100"/>
        <v>Off</v>
      </c>
      <c r="BM325" t="str">
        <f t="shared" ref="BM325:BV334" si="101">"Off"</f>
        <v>Off</v>
      </c>
      <c r="BN325" t="str">
        <f t="shared" si="101"/>
        <v>Off</v>
      </c>
      <c r="BO325" t="str">
        <f t="shared" si="101"/>
        <v>Off</v>
      </c>
      <c r="BP325" t="str">
        <f t="shared" si="101"/>
        <v>Off</v>
      </c>
      <c r="BQ325" t="str">
        <f t="shared" si="101"/>
        <v>Off</v>
      </c>
      <c r="BR325" t="str">
        <f t="shared" si="101"/>
        <v>Off</v>
      </c>
      <c r="BS325" t="str">
        <f t="shared" si="101"/>
        <v>Off</v>
      </c>
      <c r="BT325" t="str">
        <f t="shared" si="101"/>
        <v>Off</v>
      </c>
      <c r="BU325" t="str">
        <f t="shared" si="101"/>
        <v>Off</v>
      </c>
      <c r="BV325" t="str">
        <f t="shared" si="101"/>
        <v>Off</v>
      </c>
      <c r="BW325" t="str">
        <f t="shared" ref="BW325:CF334" si="102">"Off"</f>
        <v>Off</v>
      </c>
      <c r="BX325" t="str">
        <f t="shared" si="102"/>
        <v>Off</v>
      </c>
      <c r="BY325" t="str">
        <f t="shared" si="102"/>
        <v>Off</v>
      </c>
      <c r="BZ325" t="str">
        <f t="shared" si="102"/>
        <v>Off</v>
      </c>
      <c r="CA325" t="str">
        <f t="shared" si="102"/>
        <v>Off</v>
      </c>
      <c r="CB325" t="str">
        <f t="shared" si="102"/>
        <v>Off</v>
      </c>
      <c r="CC325" t="str">
        <f t="shared" si="102"/>
        <v>Off</v>
      </c>
      <c r="CD325" t="str">
        <f t="shared" si="102"/>
        <v>Off</v>
      </c>
      <c r="CE325" t="str">
        <f t="shared" si="102"/>
        <v>Off</v>
      </c>
      <c r="CF325" t="str">
        <f t="shared" si="102"/>
        <v>Off</v>
      </c>
      <c r="CG325" t="str">
        <f t="shared" ref="CG325:CP334" si="103">"Off"</f>
        <v>Off</v>
      </c>
      <c r="CH325" t="str">
        <f t="shared" si="103"/>
        <v>Off</v>
      </c>
      <c r="CI325" t="str">
        <f t="shared" si="103"/>
        <v>Off</v>
      </c>
      <c r="CJ325" t="str">
        <f t="shared" si="103"/>
        <v>Off</v>
      </c>
      <c r="CK325" t="str">
        <f t="shared" si="103"/>
        <v>Off</v>
      </c>
      <c r="CL325" t="str">
        <f t="shared" si="103"/>
        <v>Off</v>
      </c>
      <c r="CM325" t="str">
        <f t="shared" si="103"/>
        <v>Off</v>
      </c>
      <c r="CN325" t="str">
        <f t="shared" si="103"/>
        <v>Off</v>
      </c>
      <c r="CO325" t="str">
        <f t="shared" si="103"/>
        <v>Off</v>
      </c>
      <c r="CP325" t="str">
        <f t="shared" si="103"/>
        <v>Off</v>
      </c>
      <c r="CQ325" t="str">
        <f t="shared" ref="CQ325:CW334" si="104">"Off"</f>
        <v>Off</v>
      </c>
      <c r="CR325" t="str">
        <f t="shared" si="104"/>
        <v>Off</v>
      </c>
      <c r="CS325" t="str">
        <f t="shared" si="104"/>
        <v>Off</v>
      </c>
      <c r="CT325" t="str">
        <f t="shared" si="104"/>
        <v>Off</v>
      </c>
      <c r="CU325" t="str">
        <f t="shared" si="104"/>
        <v>Off</v>
      </c>
      <c r="CV325" t="str">
        <f t="shared" si="104"/>
        <v>Off</v>
      </c>
      <c r="CW325" t="str">
        <f t="shared" si="104"/>
        <v>Off</v>
      </c>
    </row>
    <row r="326" spans="1:101">
      <c r="A326" t="s">
        <v>1458</v>
      </c>
      <c r="B326" t="str">
        <f t="shared" ref="B326:B334" si="105">"On"</f>
        <v>On</v>
      </c>
      <c r="C326" t="str">
        <f>"Off"</f>
        <v>Off</v>
      </c>
      <c r="D326" t="str">
        <f>"Off"</f>
        <v>Off</v>
      </c>
      <c r="E326" t="str">
        <f t="shared" si="50"/>
        <v>Off</v>
      </c>
      <c r="F326" t="str">
        <f>"Off"</f>
        <v>Off</v>
      </c>
      <c r="G326" t="str">
        <f t="shared" ref="G326:G331" si="106">"Off"</f>
        <v>Off</v>
      </c>
      <c r="H326" t="str">
        <f t="shared" si="95"/>
        <v>Off</v>
      </c>
      <c r="I326" t="str">
        <f t="shared" si="52"/>
        <v>Off</v>
      </c>
      <c r="J326" t="str">
        <f t="shared" si="53"/>
        <v>Off</v>
      </c>
      <c r="K326" t="str">
        <f t="shared" si="63"/>
        <v>Off</v>
      </c>
      <c r="L326" t="str">
        <f t="shared" si="93"/>
        <v>Off</v>
      </c>
      <c r="M326" t="str">
        <f>"On"</f>
        <v>On</v>
      </c>
      <c r="N326" t="str">
        <f>"On"</f>
        <v>On</v>
      </c>
      <c r="O326" t="str">
        <f t="shared" si="96"/>
        <v>Off</v>
      </c>
      <c r="P326" t="str">
        <f t="shared" si="96"/>
        <v>Off</v>
      </c>
      <c r="Q326" t="str">
        <f t="shared" si="96"/>
        <v>Off</v>
      </c>
      <c r="R326" t="str">
        <f t="shared" si="96"/>
        <v>Off</v>
      </c>
      <c r="S326" t="str">
        <f t="shared" si="96"/>
        <v>Off</v>
      </c>
      <c r="T326" t="str">
        <f t="shared" si="96"/>
        <v>Off</v>
      </c>
      <c r="U326" t="str">
        <f t="shared" si="96"/>
        <v>Off</v>
      </c>
      <c r="V326" t="str">
        <f t="shared" si="96"/>
        <v>Off</v>
      </c>
      <c r="W326" t="str">
        <f t="shared" si="96"/>
        <v>Off</v>
      </c>
      <c r="X326" t="str">
        <f t="shared" si="96"/>
        <v>Off</v>
      </c>
      <c r="Y326" t="str">
        <f t="shared" si="97"/>
        <v>Off</v>
      </c>
      <c r="Z326" t="str">
        <f t="shared" si="97"/>
        <v>Off</v>
      </c>
      <c r="AA326" t="str">
        <f t="shared" si="97"/>
        <v>Off</v>
      </c>
      <c r="AB326" t="str">
        <f t="shared" si="97"/>
        <v>Off</v>
      </c>
      <c r="AC326" t="str">
        <f t="shared" si="97"/>
        <v>Off</v>
      </c>
      <c r="AD326" t="str">
        <f t="shared" si="97"/>
        <v>Off</v>
      </c>
      <c r="AE326" t="str">
        <f t="shared" si="97"/>
        <v>Off</v>
      </c>
      <c r="AF326" t="str">
        <f t="shared" si="97"/>
        <v>Off</v>
      </c>
      <c r="AG326" t="str">
        <f t="shared" si="97"/>
        <v>Off</v>
      </c>
      <c r="AH326" t="str">
        <f t="shared" si="97"/>
        <v>Off</v>
      </c>
      <c r="AI326" t="str">
        <f t="shared" si="98"/>
        <v>Off</v>
      </c>
      <c r="AJ326" t="str">
        <f t="shared" si="98"/>
        <v>Off</v>
      </c>
      <c r="AK326" t="str">
        <f t="shared" si="98"/>
        <v>Off</v>
      </c>
      <c r="AL326" t="str">
        <f t="shared" si="98"/>
        <v>Off</v>
      </c>
      <c r="AM326" t="str">
        <f t="shared" si="98"/>
        <v>Off</v>
      </c>
      <c r="AN326" t="str">
        <f t="shared" si="98"/>
        <v>Off</v>
      </c>
      <c r="AO326" t="str">
        <f t="shared" si="98"/>
        <v>Off</v>
      </c>
      <c r="AP326" t="str">
        <f t="shared" si="98"/>
        <v>Off</v>
      </c>
      <c r="AQ326" t="str">
        <f t="shared" si="98"/>
        <v>Off</v>
      </c>
      <c r="AR326" t="str">
        <f t="shared" si="98"/>
        <v>Off</v>
      </c>
      <c r="AS326" t="str">
        <f t="shared" si="99"/>
        <v>Off</v>
      </c>
      <c r="AT326" t="str">
        <f t="shared" si="99"/>
        <v>Off</v>
      </c>
      <c r="AU326" t="str">
        <f t="shared" si="99"/>
        <v>Off</v>
      </c>
      <c r="AV326" t="str">
        <f t="shared" si="99"/>
        <v>Off</v>
      </c>
      <c r="AW326" t="str">
        <f t="shared" si="99"/>
        <v>Off</v>
      </c>
      <c r="AX326" t="str">
        <f t="shared" si="99"/>
        <v>Off</v>
      </c>
      <c r="AY326" t="str">
        <f t="shared" si="99"/>
        <v>Off</v>
      </c>
      <c r="AZ326" t="str">
        <f t="shared" si="99"/>
        <v>Off</v>
      </c>
      <c r="BA326" t="str">
        <f t="shared" si="99"/>
        <v>Off</v>
      </c>
      <c r="BB326" t="str">
        <f t="shared" si="99"/>
        <v>Off</v>
      </c>
      <c r="BC326" t="str">
        <f t="shared" si="100"/>
        <v>Off</v>
      </c>
      <c r="BD326" t="str">
        <f t="shared" si="100"/>
        <v>Off</v>
      </c>
      <c r="BE326" t="str">
        <f t="shared" si="100"/>
        <v>Off</v>
      </c>
      <c r="BF326" t="str">
        <f t="shared" si="100"/>
        <v>Off</v>
      </c>
      <c r="BG326" t="str">
        <f t="shared" si="100"/>
        <v>Off</v>
      </c>
      <c r="BH326" t="str">
        <f t="shared" si="100"/>
        <v>Off</v>
      </c>
      <c r="BI326" t="str">
        <f t="shared" si="100"/>
        <v>Off</v>
      </c>
      <c r="BJ326" t="str">
        <f t="shared" si="100"/>
        <v>Off</v>
      </c>
      <c r="BK326" t="str">
        <f t="shared" si="100"/>
        <v>Off</v>
      </c>
      <c r="BL326" t="str">
        <f t="shared" si="100"/>
        <v>Off</v>
      </c>
      <c r="BM326" t="str">
        <f t="shared" si="101"/>
        <v>Off</v>
      </c>
      <c r="BN326" t="str">
        <f t="shared" si="101"/>
        <v>Off</v>
      </c>
      <c r="BO326" t="str">
        <f t="shared" si="101"/>
        <v>Off</v>
      </c>
      <c r="BP326" t="str">
        <f t="shared" si="101"/>
        <v>Off</v>
      </c>
      <c r="BQ326" t="str">
        <f t="shared" si="101"/>
        <v>Off</v>
      </c>
      <c r="BR326" t="str">
        <f t="shared" si="101"/>
        <v>Off</v>
      </c>
      <c r="BS326" t="str">
        <f t="shared" si="101"/>
        <v>Off</v>
      </c>
      <c r="BT326" t="str">
        <f t="shared" si="101"/>
        <v>Off</v>
      </c>
      <c r="BU326" t="str">
        <f t="shared" si="101"/>
        <v>Off</v>
      </c>
      <c r="BV326" t="str">
        <f t="shared" si="101"/>
        <v>Off</v>
      </c>
      <c r="BW326" t="str">
        <f t="shared" si="102"/>
        <v>Off</v>
      </c>
      <c r="BX326" t="str">
        <f t="shared" si="102"/>
        <v>Off</v>
      </c>
      <c r="BY326" t="str">
        <f t="shared" si="102"/>
        <v>Off</v>
      </c>
      <c r="BZ326" t="str">
        <f t="shared" si="102"/>
        <v>Off</v>
      </c>
      <c r="CA326" t="str">
        <f t="shared" si="102"/>
        <v>Off</v>
      </c>
      <c r="CB326" t="str">
        <f t="shared" si="102"/>
        <v>Off</v>
      </c>
      <c r="CC326" t="str">
        <f t="shared" si="102"/>
        <v>Off</v>
      </c>
      <c r="CD326" t="str">
        <f t="shared" si="102"/>
        <v>Off</v>
      </c>
      <c r="CE326" t="str">
        <f t="shared" si="102"/>
        <v>Off</v>
      </c>
      <c r="CF326" t="str">
        <f t="shared" si="102"/>
        <v>Off</v>
      </c>
      <c r="CG326" t="str">
        <f t="shared" si="103"/>
        <v>Off</v>
      </c>
      <c r="CH326" t="str">
        <f t="shared" si="103"/>
        <v>Off</v>
      </c>
      <c r="CI326" t="str">
        <f t="shared" si="103"/>
        <v>Off</v>
      </c>
      <c r="CJ326" t="str">
        <f t="shared" si="103"/>
        <v>Off</v>
      </c>
      <c r="CK326" t="str">
        <f t="shared" si="103"/>
        <v>Off</v>
      </c>
      <c r="CL326" t="str">
        <f t="shared" si="103"/>
        <v>Off</v>
      </c>
      <c r="CM326" t="str">
        <f t="shared" si="103"/>
        <v>Off</v>
      </c>
      <c r="CN326" t="str">
        <f t="shared" si="103"/>
        <v>Off</v>
      </c>
      <c r="CO326" t="str">
        <f t="shared" si="103"/>
        <v>Off</v>
      </c>
      <c r="CP326" t="str">
        <f t="shared" si="103"/>
        <v>Off</v>
      </c>
      <c r="CQ326" t="str">
        <f t="shared" si="104"/>
        <v>Off</v>
      </c>
      <c r="CR326" t="str">
        <f t="shared" si="104"/>
        <v>Off</v>
      </c>
      <c r="CS326" t="str">
        <f t="shared" si="104"/>
        <v>Off</v>
      </c>
      <c r="CT326" t="str">
        <f t="shared" si="104"/>
        <v>Off</v>
      </c>
      <c r="CU326" t="str">
        <f t="shared" si="104"/>
        <v>Off</v>
      </c>
      <c r="CV326" t="str">
        <f t="shared" si="104"/>
        <v>Off</v>
      </c>
      <c r="CW326" t="str">
        <f t="shared" si="104"/>
        <v>Off</v>
      </c>
    </row>
    <row r="327" spans="1:101">
      <c r="A327" t="s">
        <v>1459</v>
      </c>
      <c r="B327" t="str">
        <f t="shared" si="105"/>
        <v>On</v>
      </c>
      <c r="C327" t="str">
        <f>"On"</f>
        <v>On</v>
      </c>
      <c r="D327" t="str">
        <f>"On"</f>
        <v>On</v>
      </c>
      <c r="E327" t="str">
        <f>"On"</f>
        <v>On</v>
      </c>
      <c r="F327" t="str">
        <f>"On"</f>
        <v>On</v>
      </c>
      <c r="G327" t="str">
        <f t="shared" si="106"/>
        <v>Off</v>
      </c>
      <c r="H327" t="str">
        <f t="shared" si="95"/>
        <v>Off</v>
      </c>
      <c r="I327" t="str">
        <f t="shared" si="52"/>
        <v>Off</v>
      </c>
      <c r="J327" t="str">
        <f t="shared" si="53"/>
        <v>Off</v>
      </c>
      <c r="K327" t="str">
        <f t="shared" si="63"/>
        <v>Off</v>
      </c>
      <c r="L327" t="str">
        <f t="shared" si="93"/>
        <v>Off</v>
      </c>
      <c r="M327" t="str">
        <f t="shared" ref="M327:N331" si="107">"Off"</f>
        <v>Off</v>
      </c>
      <c r="N327" t="str">
        <f t="shared" si="107"/>
        <v>Off</v>
      </c>
      <c r="O327" t="str">
        <f t="shared" si="96"/>
        <v>Off</v>
      </c>
      <c r="P327" t="str">
        <f t="shared" si="96"/>
        <v>Off</v>
      </c>
      <c r="Q327" t="str">
        <f t="shared" si="96"/>
        <v>Off</v>
      </c>
      <c r="R327" t="str">
        <f t="shared" si="96"/>
        <v>Off</v>
      </c>
      <c r="S327" t="str">
        <f t="shared" si="96"/>
        <v>Off</v>
      </c>
      <c r="T327" t="str">
        <f t="shared" si="96"/>
        <v>Off</v>
      </c>
      <c r="U327" t="str">
        <f t="shared" si="96"/>
        <v>Off</v>
      </c>
      <c r="V327" t="str">
        <f t="shared" si="96"/>
        <v>Off</v>
      </c>
      <c r="W327" t="str">
        <f t="shared" si="96"/>
        <v>Off</v>
      </c>
      <c r="X327" t="str">
        <f t="shared" si="96"/>
        <v>Off</v>
      </c>
      <c r="Y327" t="str">
        <f t="shared" si="97"/>
        <v>Off</v>
      </c>
      <c r="Z327" t="str">
        <f t="shared" si="97"/>
        <v>Off</v>
      </c>
      <c r="AA327" t="str">
        <f t="shared" si="97"/>
        <v>Off</v>
      </c>
      <c r="AB327" t="str">
        <f t="shared" si="97"/>
        <v>Off</v>
      </c>
      <c r="AC327" t="str">
        <f t="shared" si="97"/>
        <v>Off</v>
      </c>
      <c r="AD327" t="str">
        <f t="shared" si="97"/>
        <v>Off</v>
      </c>
      <c r="AE327" t="str">
        <f t="shared" si="97"/>
        <v>Off</v>
      </c>
      <c r="AF327" t="str">
        <f t="shared" si="97"/>
        <v>Off</v>
      </c>
      <c r="AG327" t="str">
        <f t="shared" si="97"/>
        <v>Off</v>
      </c>
      <c r="AH327" t="str">
        <f t="shared" si="97"/>
        <v>Off</v>
      </c>
      <c r="AI327" t="str">
        <f t="shared" si="98"/>
        <v>Off</v>
      </c>
      <c r="AJ327" t="str">
        <f t="shared" si="98"/>
        <v>Off</v>
      </c>
      <c r="AK327" t="str">
        <f t="shared" si="98"/>
        <v>Off</v>
      </c>
      <c r="AL327" t="str">
        <f t="shared" si="98"/>
        <v>Off</v>
      </c>
      <c r="AM327" t="str">
        <f t="shared" si="98"/>
        <v>Off</v>
      </c>
      <c r="AN327" t="str">
        <f t="shared" si="98"/>
        <v>Off</v>
      </c>
      <c r="AO327" t="str">
        <f t="shared" si="98"/>
        <v>Off</v>
      </c>
      <c r="AP327" t="str">
        <f t="shared" si="98"/>
        <v>Off</v>
      </c>
      <c r="AQ327" t="str">
        <f t="shared" si="98"/>
        <v>Off</v>
      </c>
      <c r="AR327" t="str">
        <f t="shared" si="98"/>
        <v>Off</v>
      </c>
      <c r="AS327" t="str">
        <f t="shared" si="99"/>
        <v>Off</v>
      </c>
      <c r="AT327" t="str">
        <f t="shared" si="99"/>
        <v>Off</v>
      </c>
      <c r="AU327" t="str">
        <f t="shared" si="99"/>
        <v>Off</v>
      </c>
      <c r="AV327" t="str">
        <f t="shared" si="99"/>
        <v>Off</v>
      </c>
      <c r="AW327" t="str">
        <f t="shared" si="99"/>
        <v>Off</v>
      </c>
      <c r="AX327" t="str">
        <f t="shared" si="99"/>
        <v>Off</v>
      </c>
      <c r="AY327" t="str">
        <f t="shared" si="99"/>
        <v>Off</v>
      </c>
      <c r="AZ327" t="str">
        <f t="shared" si="99"/>
        <v>Off</v>
      </c>
      <c r="BA327" t="str">
        <f t="shared" si="99"/>
        <v>Off</v>
      </c>
      <c r="BB327" t="str">
        <f t="shared" si="99"/>
        <v>Off</v>
      </c>
      <c r="BC327" t="str">
        <f t="shared" si="100"/>
        <v>Off</v>
      </c>
      <c r="BD327" t="str">
        <f t="shared" si="100"/>
        <v>Off</v>
      </c>
      <c r="BE327" t="str">
        <f t="shared" si="100"/>
        <v>Off</v>
      </c>
      <c r="BF327" t="str">
        <f t="shared" si="100"/>
        <v>Off</v>
      </c>
      <c r="BG327" t="str">
        <f t="shared" si="100"/>
        <v>Off</v>
      </c>
      <c r="BH327" t="str">
        <f t="shared" si="100"/>
        <v>Off</v>
      </c>
      <c r="BI327" t="str">
        <f t="shared" si="100"/>
        <v>Off</v>
      </c>
      <c r="BJ327" t="str">
        <f t="shared" si="100"/>
        <v>Off</v>
      </c>
      <c r="BK327" t="str">
        <f t="shared" si="100"/>
        <v>Off</v>
      </c>
      <c r="BL327" t="str">
        <f t="shared" si="100"/>
        <v>Off</v>
      </c>
      <c r="BM327" t="str">
        <f t="shared" si="101"/>
        <v>Off</v>
      </c>
      <c r="BN327" t="str">
        <f t="shared" si="101"/>
        <v>Off</v>
      </c>
      <c r="BO327" t="str">
        <f t="shared" si="101"/>
        <v>Off</v>
      </c>
      <c r="BP327" t="str">
        <f t="shared" si="101"/>
        <v>Off</v>
      </c>
      <c r="BQ327" t="str">
        <f t="shared" si="101"/>
        <v>Off</v>
      </c>
      <c r="BR327" t="str">
        <f t="shared" si="101"/>
        <v>Off</v>
      </c>
      <c r="BS327" t="str">
        <f t="shared" si="101"/>
        <v>Off</v>
      </c>
      <c r="BT327" t="str">
        <f t="shared" si="101"/>
        <v>Off</v>
      </c>
      <c r="BU327" t="str">
        <f t="shared" si="101"/>
        <v>Off</v>
      </c>
      <c r="BV327" t="str">
        <f t="shared" si="101"/>
        <v>Off</v>
      </c>
      <c r="BW327" t="str">
        <f t="shared" si="102"/>
        <v>Off</v>
      </c>
      <c r="BX327" t="str">
        <f t="shared" si="102"/>
        <v>Off</v>
      </c>
      <c r="BY327" t="str">
        <f t="shared" si="102"/>
        <v>Off</v>
      </c>
      <c r="BZ327" t="str">
        <f t="shared" si="102"/>
        <v>Off</v>
      </c>
      <c r="CA327" t="str">
        <f t="shared" si="102"/>
        <v>Off</v>
      </c>
      <c r="CB327" t="str">
        <f t="shared" si="102"/>
        <v>Off</v>
      </c>
      <c r="CC327" t="str">
        <f t="shared" si="102"/>
        <v>Off</v>
      </c>
      <c r="CD327" t="str">
        <f t="shared" si="102"/>
        <v>Off</v>
      </c>
      <c r="CE327" t="str">
        <f t="shared" si="102"/>
        <v>Off</v>
      </c>
      <c r="CF327" t="str">
        <f t="shared" si="102"/>
        <v>Off</v>
      </c>
      <c r="CG327" t="str">
        <f t="shared" si="103"/>
        <v>Off</v>
      </c>
      <c r="CH327" t="str">
        <f t="shared" si="103"/>
        <v>Off</v>
      </c>
      <c r="CI327" t="str">
        <f t="shared" si="103"/>
        <v>Off</v>
      </c>
      <c r="CJ327" t="str">
        <f t="shared" si="103"/>
        <v>Off</v>
      </c>
      <c r="CK327" t="str">
        <f t="shared" si="103"/>
        <v>Off</v>
      </c>
      <c r="CL327" t="str">
        <f t="shared" si="103"/>
        <v>Off</v>
      </c>
      <c r="CM327" t="str">
        <f t="shared" si="103"/>
        <v>Off</v>
      </c>
      <c r="CN327" t="str">
        <f t="shared" si="103"/>
        <v>Off</v>
      </c>
      <c r="CO327" t="str">
        <f t="shared" si="103"/>
        <v>Off</v>
      </c>
      <c r="CP327" t="str">
        <f t="shared" si="103"/>
        <v>Off</v>
      </c>
      <c r="CQ327" t="str">
        <f t="shared" si="104"/>
        <v>Off</v>
      </c>
      <c r="CR327" t="str">
        <f t="shared" si="104"/>
        <v>Off</v>
      </c>
      <c r="CS327" t="str">
        <f t="shared" si="104"/>
        <v>Off</v>
      </c>
      <c r="CT327" t="str">
        <f t="shared" si="104"/>
        <v>Off</v>
      </c>
      <c r="CU327" t="str">
        <f t="shared" si="104"/>
        <v>Off</v>
      </c>
      <c r="CV327" t="str">
        <f t="shared" si="104"/>
        <v>Off</v>
      </c>
      <c r="CW327" t="str">
        <f t="shared" si="104"/>
        <v>Off</v>
      </c>
    </row>
    <row r="328" spans="1:101">
      <c r="A328" t="s">
        <v>1460</v>
      </c>
      <c r="B328" t="str">
        <f t="shared" si="105"/>
        <v>On</v>
      </c>
      <c r="C328" t="str">
        <f t="shared" ref="C328:D331" si="108">"On"</f>
        <v>On</v>
      </c>
      <c r="D328" t="str">
        <f t="shared" si="108"/>
        <v>On</v>
      </c>
      <c r="E328" t="str">
        <f t="shared" ref="E328:F331" si="109">"Off"</f>
        <v>Off</v>
      </c>
      <c r="F328" t="str">
        <f t="shared" si="109"/>
        <v>Off</v>
      </c>
      <c r="G328" t="str">
        <f t="shared" si="106"/>
        <v>Off</v>
      </c>
      <c r="H328" t="str">
        <f t="shared" si="95"/>
        <v>Off</v>
      </c>
      <c r="I328" t="str">
        <f>"On"</f>
        <v>On</v>
      </c>
      <c r="J328" t="str">
        <f t="shared" si="53"/>
        <v>Off</v>
      </c>
      <c r="K328" t="str">
        <f t="shared" si="63"/>
        <v>Off</v>
      </c>
      <c r="L328" t="str">
        <f t="shared" si="93"/>
        <v>Off</v>
      </c>
      <c r="M328" t="str">
        <f t="shared" si="107"/>
        <v>Off</v>
      </c>
      <c r="N328" t="str">
        <f t="shared" si="107"/>
        <v>Off</v>
      </c>
      <c r="O328" t="str">
        <f t="shared" si="96"/>
        <v>Off</v>
      </c>
      <c r="P328" t="str">
        <f t="shared" si="96"/>
        <v>Off</v>
      </c>
      <c r="Q328" t="str">
        <f t="shared" si="96"/>
        <v>Off</v>
      </c>
      <c r="R328" t="str">
        <f t="shared" si="96"/>
        <v>Off</v>
      </c>
      <c r="S328" t="str">
        <f t="shared" si="96"/>
        <v>Off</v>
      </c>
      <c r="T328" t="str">
        <f t="shared" si="96"/>
        <v>Off</v>
      </c>
      <c r="U328" t="str">
        <f t="shared" si="96"/>
        <v>Off</v>
      </c>
      <c r="V328" t="str">
        <f t="shared" si="96"/>
        <v>Off</v>
      </c>
      <c r="W328" t="str">
        <f t="shared" si="96"/>
        <v>Off</v>
      </c>
      <c r="X328" t="str">
        <f t="shared" si="96"/>
        <v>Off</v>
      </c>
      <c r="Y328" t="str">
        <f t="shared" si="97"/>
        <v>Off</v>
      </c>
      <c r="Z328" t="str">
        <f t="shared" si="97"/>
        <v>Off</v>
      </c>
      <c r="AA328" t="str">
        <f t="shared" si="97"/>
        <v>Off</v>
      </c>
      <c r="AB328" t="str">
        <f t="shared" si="97"/>
        <v>Off</v>
      </c>
      <c r="AC328" t="str">
        <f t="shared" si="97"/>
        <v>Off</v>
      </c>
      <c r="AD328" t="str">
        <f t="shared" si="97"/>
        <v>Off</v>
      </c>
      <c r="AE328" t="str">
        <f t="shared" si="97"/>
        <v>Off</v>
      </c>
      <c r="AF328" t="str">
        <f t="shared" si="97"/>
        <v>Off</v>
      </c>
      <c r="AG328" t="str">
        <f t="shared" si="97"/>
        <v>Off</v>
      </c>
      <c r="AH328" t="str">
        <f t="shared" si="97"/>
        <v>Off</v>
      </c>
      <c r="AI328" t="str">
        <f t="shared" si="98"/>
        <v>Off</v>
      </c>
      <c r="AJ328" t="str">
        <f t="shared" si="98"/>
        <v>Off</v>
      </c>
      <c r="AK328" t="str">
        <f t="shared" si="98"/>
        <v>Off</v>
      </c>
      <c r="AL328" t="str">
        <f t="shared" si="98"/>
        <v>Off</v>
      </c>
      <c r="AM328" t="str">
        <f t="shared" si="98"/>
        <v>Off</v>
      </c>
      <c r="AN328" t="str">
        <f t="shared" si="98"/>
        <v>Off</v>
      </c>
      <c r="AO328" t="str">
        <f t="shared" si="98"/>
        <v>Off</v>
      </c>
      <c r="AP328" t="str">
        <f t="shared" si="98"/>
        <v>Off</v>
      </c>
      <c r="AQ328" t="str">
        <f t="shared" si="98"/>
        <v>Off</v>
      </c>
      <c r="AR328" t="str">
        <f t="shared" si="98"/>
        <v>Off</v>
      </c>
      <c r="AS328" t="str">
        <f t="shared" si="99"/>
        <v>Off</v>
      </c>
      <c r="AT328" t="str">
        <f t="shared" si="99"/>
        <v>Off</v>
      </c>
      <c r="AU328" t="str">
        <f t="shared" si="99"/>
        <v>Off</v>
      </c>
      <c r="AV328" t="str">
        <f t="shared" si="99"/>
        <v>Off</v>
      </c>
      <c r="AW328" t="str">
        <f t="shared" si="99"/>
        <v>Off</v>
      </c>
      <c r="AX328" t="str">
        <f t="shared" si="99"/>
        <v>Off</v>
      </c>
      <c r="AY328" t="str">
        <f t="shared" si="99"/>
        <v>Off</v>
      </c>
      <c r="AZ328" t="str">
        <f t="shared" si="99"/>
        <v>Off</v>
      </c>
      <c r="BA328" t="str">
        <f t="shared" si="99"/>
        <v>Off</v>
      </c>
      <c r="BB328" t="str">
        <f t="shared" si="99"/>
        <v>Off</v>
      </c>
      <c r="BC328" t="str">
        <f t="shared" si="100"/>
        <v>Off</v>
      </c>
      <c r="BD328" t="str">
        <f t="shared" si="100"/>
        <v>Off</v>
      </c>
      <c r="BE328" t="str">
        <f t="shared" si="100"/>
        <v>Off</v>
      </c>
      <c r="BF328" t="str">
        <f t="shared" si="100"/>
        <v>Off</v>
      </c>
      <c r="BG328" t="str">
        <f t="shared" si="100"/>
        <v>Off</v>
      </c>
      <c r="BH328" t="str">
        <f t="shared" si="100"/>
        <v>Off</v>
      </c>
      <c r="BI328" t="str">
        <f t="shared" si="100"/>
        <v>Off</v>
      </c>
      <c r="BJ328" t="str">
        <f t="shared" si="100"/>
        <v>Off</v>
      </c>
      <c r="BK328" t="str">
        <f t="shared" si="100"/>
        <v>Off</v>
      </c>
      <c r="BL328" t="str">
        <f t="shared" si="100"/>
        <v>Off</v>
      </c>
      <c r="BM328" t="str">
        <f t="shared" si="101"/>
        <v>Off</v>
      </c>
      <c r="BN328" t="str">
        <f t="shared" si="101"/>
        <v>Off</v>
      </c>
      <c r="BO328" t="str">
        <f t="shared" si="101"/>
        <v>Off</v>
      </c>
      <c r="BP328" t="str">
        <f t="shared" si="101"/>
        <v>Off</v>
      </c>
      <c r="BQ328" t="str">
        <f t="shared" si="101"/>
        <v>Off</v>
      </c>
      <c r="BR328" t="str">
        <f t="shared" si="101"/>
        <v>Off</v>
      </c>
      <c r="BS328" t="str">
        <f t="shared" si="101"/>
        <v>Off</v>
      </c>
      <c r="BT328" t="str">
        <f t="shared" si="101"/>
        <v>Off</v>
      </c>
      <c r="BU328" t="str">
        <f t="shared" si="101"/>
        <v>Off</v>
      </c>
      <c r="BV328" t="str">
        <f t="shared" si="101"/>
        <v>Off</v>
      </c>
      <c r="BW328" t="str">
        <f t="shared" si="102"/>
        <v>Off</v>
      </c>
      <c r="BX328" t="str">
        <f t="shared" si="102"/>
        <v>Off</v>
      </c>
      <c r="BY328" t="str">
        <f t="shared" si="102"/>
        <v>Off</v>
      </c>
      <c r="BZ328" t="str">
        <f t="shared" si="102"/>
        <v>Off</v>
      </c>
      <c r="CA328" t="str">
        <f t="shared" si="102"/>
        <v>Off</v>
      </c>
      <c r="CB328" t="str">
        <f t="shared" si="102"/>
        <v>Off</v>
      </c>
      <c r="CC328" t="str">
        <f t="shared" si="102"/>
        <v>Off</v>
      </c>
      <c r="CD328" t="str">
        <f t="shared" si="102"/>
        <v>Off</v>
      </c>
      <c r="CE328" t="str">
        <f t="shared" si="102"/>
        <v>Off</v>
      </c>
      <c r="CF328" t="str">
        <f t="shared" si="102"/>
        <v>Off</v>
      </c>
      <c r="CG328" t="str">
        <f t="shared" si="103"/>
        <v>Off</v>
      </c>
      <c r="CH328" t="str">
        <f t="shared" si="103"/>
        <v>Off</v>
      </c>
      <c r="CI328" t="str">
        <f t="shared" si="103"/>
        <v>Off</v>
      </c>
      <c r="CJ328" t="str">
        <f t="shared" si="103"/>
        <v>Off</v>
      </c>
      <c r="CK328" t="str">
        <f t="shared" si="103"/>
        <v>Off</v>
      </c>
      <c r="CL328" t="str">
        <f t="shared" si="103"/>
        <v>Off</v>
      </c>
      <c r="CM328" t="str">
        <f t="shared" si="103"/>
        <v>Off</v>
      </c>
      <c r="CN328" t="str">
        <f t="shared" si="103"/>
        <v>Off</v>
      </c>
      <c r="CO328" t="str">
        <f t="shared" si="103"/>
        <v>Off</v>
      </c>
      <c r="CP328" t="str">
        <f t="shared" si="103"/>
        <v>Off</v>
      </c>
      <c r="CQ328" t="str">
        <f t="shared" si="104"/>
        <v>Off</v>
      </c>
      <c r="CR328" t="str">
        <f t="shared" si="104"/>
        <v>Off</v>
      </c>
      <c r="CS328" t="str">
        <f t="shared" si="104"/>
        <v>Off</v>
      </c>
      <c r="CT328" t="str">
        <f t="shared" si="104"/>
        <v>Off</v>
      </c>
      <c r="CU328" t="str">
        <f t="shared" si="104"/>
        <v>Off</v>
      </c>
      <c r="CV328" t="str">
        <f t="shared" si="104"/>
        <v>Off</v>
      </c>
      <c r="CW328" t="str">
        <f t="shared" si="104"/>
        <v>Off</v>
      </c>
    </row>
    <row r="329" spans="1:101">
      <c r="A329" t="s">
        <v>1461</v>
      </c>
      <c r="B329" t="str">
        <f t="shared" si="105"/>
        <v>On</v>
      </c>
      <c r="C329" t="str">
        <f t="shared" si="108"/>
        <v>On</v>
      </c>
      <c r="D329" t="str">
        <f t="shared" si="108"/>
        <v>On</v>
      </c>
      <c r="E329" t="str">
        <f t="shared" si="109"/>
        <v>Off</v>
      </c>
      <c r="F329" t="str">
        <f t="shared" si="109"/>
        <v>Off</v>
      </c>
      <c r="G329" t="str">
        <f t="shared" si="106"/>
        <v>Off</v>
      </c>
      <c r="H329" t="str">
        <f t="shared" si="95"/>
        <v>Off</v>
      </c>
      <c r="I329" t="str">
        <f t="shared" ref="I329:I334" si="110">"Off"</f>
        <v>Off</v>
      </c>
      <c r="J329" t="str">
        <f t="shared" si="53"/>
        <v>Off</v>
      </c>
      <c r="K329" t="str">
        <f t="shared" si="63"/>
        <v>Off</v>
      </c>
      <c r="L329" t="str">
        <f t="shared" si="93"/>
        <v>Off</v>
      </c>
      <c r="M329" t="str">
        <f t="shared" si="107"/>
        <v>Off</v>
      </c>
      <c r="N329" t="str">
        <f t="shared" si="107"/>
        <v>Off</v>
      </c>
      <c r="O329" t="str">
        <f t="shared" si="96"/>
        <v>Off</v>
      </c>
      <c r="P329" t="str">
        <f t="shared" si="96"/>
        <v>Off</v>
      </c>
      <c r="Q329" t="str">
        <f t="shared" si="96"/>
        <v>Off</v>
      </c>
      <c r="R329" t="str">
        <f t="shared" si="96"/>
        <v>Off</v>
      </c>
      <c r="S329" t="str">
        <f t="shared" si="96"/>
        <v>Off</v>
      </c>
      <c r="T329" t="str">
        <f t="shared" si="96"/>
        <v>Off</v>
      </c>
      <c r="U329" t="str">
        <f t="shared" si="96"/>
        <v>Off</v>
      </c>
      <c r="V329" t="str">
        <f t="shared" si="96"/>
        <v>Off</v>
      </c>
      <c r="W329" t="str">
        <f t="shared" si="96"/>
        <v>Off</v>
      </c>
      <c r="X329" t="str">
        <f t="shared" si="96"/>
        <v>Off</v>
      </c>
      <c r="Y329" t="str">
        <f t="shared" si="97"/>
        <v>Off</v>
      </c>
      <c r="Z329" t="str">
        <f t="shared" si="97"/>
        <v>Off</v>
      </c>
      <c r="AA329" t="str">
        <f t="shared" si="97"/>
        <v>Off</v>
      </c>
      <c r="AB329" t="str">
        <f t="shared" si="97"/>
        <v>Off</v>
      </c>
      <c r="AC329" t="str">
        <f t="shared" si="97"/>
        <v>Off</v>
      </c>
      <c r="AD329" t="str">
        <f t="shared" si="97"/>
        <v>Off</v>
      </c>
      <c r="AE329" t="str">
        <f t="shared" si="97"/>
        <v>Off</v>
      </c>
      <c r="AF329" t="str">
        <f t="shared" si="97"/>
        <v>Off</v>
      </c>
      <c r="AG329" t="str">
        <f t="shared" si="97"/>
        <v>Off</v>
      </c>
      <c r="AH329" t="str">
        <f t="shared" si="97"/>
        <v>Off</v>
      </c>
      <c r="AI329" t="str">
        <f t="shared" si="98"/>
        <v>Off</v>
      </c>
      <c r="AJ329" t="str">
        <f t="shared" si="98"/>
        <v>Off</v>
      </c>
      <c r="AK329" t="str">
        <f t="shared" si="98"/>
        <v>Off</v>
      </c>
      <c r="AL329" t="str">
        <f t="shared" si="98"/>
        <v>Off</v>
      </c>
      <c r="AM329" t="str">
        <f t="shared" si="98"/>
        <v>Off</v>
      </c>
      <c r="AN329" t="str">
        <f t="shared" si="98"/>
        <v>Off</v>
      </c>
      <c r="AO329" t="str">
        <f t="shared" si="98"/>
        <v>Off</v>
      </c>
      <c r="AP329" t="str">
        <f t="shared" si="98"/>
        <v>Off</v>
      </c>
      <c r="AQ329" t="str">
        <f t="shared" si="98"/>
        <v>Off</v>
      </c>
      <c r="AR329" t="str">
        <f t="shared" si="98"/>
        <v>Off</v>
      </c>
      <c r="AS329" t="str">
        <f t="shared" si="99"/>
        <v>Off</v>
      </c>
      <c r="AT329" t="str">
        <f t="shared" si="99"/>
        <v>Off</v>
      </c>
      <c r="AU329" t="str">
        <f t="shared" si="99"/>
        <v>Off</v>
      </c>
      <c r="AV329" t="str">
        <f t="shared" si="99"/>
        <v>Off</v>
      </c>
      <c r="AW329" t="str">
        <f t="shared" si="99"/>
        <v>Off</v>
      </c>
      <c r="AX329" t="str">
        <f t="shared" si="99"/>
        <v>Off</v>
      </c>
      <c r="AY329" t="str">
        <f t="shared" si="99"/>
        <v>Off</v>
      </c>
      <c r="AZ329" t="str">
        <f t="shared" si="99"/>
        <v>Off</v>
      </c>
      <c r="BA329" t="str">
        <f t="shared" si="99"/>
        <v>Off</v>
      </c>
      <c r="BB329" t="str">
        <f t="shared" si="99"/>
        <v>Off</v>
      </c>
      <c r="BC329" t="str">
        <f t="shared" si="100"/>
        <v>Off</v>
      </c>
      <c r="BD329" t="str">
        <f t="shared" si="100"/>
        <v>Off</v>
      </c>
      <c r="BE329" t="str">
        <f t="shared" si="100"/>
        <v>Off</v>
      </c>
      <c r="BF329" t="str">
        <f t="shared" si="100"/>
        <v>Off</v>
      </c>
      <c r="BG329" t="str">
        <f t="shared" si="100"/>
        <v>Off</v>
      </c>
      <c r="BH329" t="str">
        <f t="shared" si="100"/>
        <v>Off</v>
      </c>
      <c r="BI329" t="str">
        <f t="shared" si="100"/>
        <v>Off</v>
      </c>
      <c r="BJ329" t="str">
        <f t="shared" si="100"/>
        <v>Off</v>
      </c>
      <c r="BK329" t="str">
        <f t="shared" si="100"/>
        <v>Off</v>
      </c>
      <c r="BL329" t="str">
        <f t="shared" si="100"/>
        <v>Off</v>
      </c>
      <c r="BM329" t="str">
        <f t="shared" si="101"/>
        <v>Off</v>
      </c>
      <c r="BN329" t="str">
        <f t="shared" si="101"/>
        <v>Off</v>
      </c>
      <c r="BO329" t="str">
        <f t="shared" si="101"/>
        <v>Off</v>
      </c>
      <c r="BP329" t="str">
        <f t="shared" si="101"/>
        <v>Off</v>
      </c>
      <c r="BQ329" t="str">
        <f t="shared" si="101"/>
        <v>Off</v>
      </c>
      <c r="BR329" t="str">
        <f t="shared" si="101"/>
        <v>Off</v>
      </c>
      <c r="BS329" t="str">
        <f t="shared" si="101"/>
        <v>Off</v>
      </c>
      <c r="BT329" t="str">
        <f t="shared" si="101"/>
        <v>Off</v>
      </c>
      <c r="BU329" t="str">
        <f t="shared" si="101"/>
        <v>Off</v>
      </c>
      <c r="BV329" t="str">
        <f t="shared" si="101"/>
        <v>Off</v>
      </c>
      <c r="BW329" t="str">
        <f t="shared" si="102"/>
        <v>Off</v>
      </c>
      <c r="BX329" t="str">
        <f t="shared" si="102"/>
        <v>Off</v>
      </c>
      <c r="BY329" t="str">
        <f t="shared" si="102"/>
        <v>Off</v>
      </c>
      <c r="BZ329" t="str">
        <f t="shared" si="102"/>
        <v>Off</v>
      </c>
      <c r="CA329" t="str">
        <f t="shared" si="102"/>
        <v>Off</v>
      </c>
      <c r="CB329" t="str">
        <f t="shared" si="102"/>
        <v>Off</v>
      </c>
      <c r="CC329" t="str">
        <f t="shared" si="102"/>
        <v>Off</v>
      </c>
      <c r="CD329" t="str">
        <f t="shared" si="102"/>
        <v>Off</v>
      </c>
      <c r="CE329" t="str">
        <f t="shared" si="102"/>
        <v>Off</v>
      </c>
      <c r="CF329" t="str">
        <f t="shared" si="102"/>
        <v>Off</v>
      </c>
      <c r="CG329" t="str">
        <f t="shared" si="103"/>
        <v>Off</v>
      </c>
      <c r="CH329" t="str">
        <f t="shared" si="103"/>
        <v>Off</v>
      </c>
      <c r="CI329" t="str">
        <f t="shared" si="103"/>
        <v>Off</v>
      </c>
      <c r="CJ329" t="str">
        <f t="shared" si="103"/>
        <v>Off</v>
      </c>
      <c r="CK329" t="str">
        <f t="shared" si="103"/>
        <v>Off</v>
      </c>
      <c r="CL329" t="str">
        <f t="shared" si="103"/>
        <v>Off</v>
      </c>
      <c r="CM329" t="str">
        <f t="shared" si="103"/>
        <v>Off</v>
      </c>
      <c r="CN329" t="str">
        <f t="shared" si="103"/>
        <v>Off</v>
      </c>
      <c r="CO329" t="str">
        <f t="shared" si="103"/>
        <v>Off</v>
      </c>
      <c r="CP329" t="str">
        <f t="shared" si="103"/>
        <v>Off</v>
      </c>
      <c r="CQ329" t="str">
        <f t="shared" si="104"/>
        <v>Off</v>
      </c>
      <c r="CR329" t="str">
        <f t="shared" si="104"/>
        <v>Off</v>
      </c>
      <c r="CS329" t="str">
        <f t="shared" si="104"/>
        <v>Off</v>
      </c>
      <c r="CT329" t="str">
        <f t="shared" si="104"/>
        <v>Off</v>
      </c>
      <c r="CU329" t="str">
        <f t="shared" si="104"/>
        <v>Off</v>
      </c>
      <c r="CV329" t="str">
        <f t="shared" si="104"/>
        <v>Off</v>
      </c>
      <c r="CW329" t="str">
        <f t="shared" si="104"/>
        <v>Off</v>
      </c>
    </row>
    <row r="330" spans="1:101">
      <c r="A330" t="s">
        <v>1462</v>
      </c>
      <c r="B330" t="str">
        <f t="shared" si="105"/>
        <v>On</v>
      </c>
      <c r="C330" t="str">
        <f t="shared" si="108"/>
        <v>On</v>
      </c>
      <c r="D330" t="str">
        <f t="shared" si="108"/>
        <v>On</v>
      </c>
      <c r="E330" t="str">
        <f t="shared" si="109"/>
        <v>Off</v>
      </c>
      <c r="F330" t="str">
        <f t="shared" si="109"/>
        <v>Off</v>
      </c>
      <c r="G330" t="str">
        <f t="shared" si="106"/>
        <v>Off</v>
      </c>
      <c r="H330" t="str">
        <f t="shared" si="95"/>
        <v>Off</v>
      </c>
      <c r="I330" t="str">
        <f t="shared" si="110"/>
        <v>Off</v>
      </c>
      <c r="J330" t="str">
        <f t="shared" si="53"/>
        <v>Off</v>
      </c>
      <c r="K330" t="str">
        <f t="shared" si="63"/>
        <v>Off</v>
      </c>
      <c r="L330" t="str">
        <f t="shared" si="93"/>
        <v>Off</v>
      </c>
      <c r="M330" t="str">
        <f t="shared" si="107"/>
        <v>Off</v>
      </c>
      <c r="N330" t="str">
        <f t="shared" si="107"/>
        <v>Off</v>
      </c>
      <c r="O330" t="str">
        <f t="shared" si="96"/>
        <v>Off</v>
      </c>
      <c r="P330" t="str">
        <f t="shared" si="96"/>
        <v>Off</v>
      </c>
      <c r="Q330" t="str">
        <f t="shared" si="96"/>
        <v>Off</v>
      </c>
      <c r="R330" t="str">
        <f t="shared" si="96"/>
        <v>Off</v>
      </c>
      <c r="S330" t="str">
        <f t="shared" si="96"/>
        <v>Off</v>
      </c>
      <c r="T330" t="str">
        <f t="shared" si="96"/>
        <v>Off</v>
      </c>
      <c r="U330" t="str">
        <f t="shared" si="96"/>
        <v>Off</v>
      </c>
      <c r="V330" t="str">
        <f t="shared" si="96"/>
        <v>Off</v>
      </c>
      <c r="W330" t="str">
        <f t="shared" si="96"/>
        <v>Off</v>
      </c>
      <c r="X330" t="str">
        <f t="shared" si="96"/>
        <v>Off</v>
      </c>
      <c r="Y330" t="str">
        <f t="shared" si="97"/>
        <v>Off</v>
      </c>
      <c r="Z330" t="str">
        <f t="shared" si="97"/>
        <v>Off</v>
      </c>
      <c r="AA330" t="str">
        <f t="shared" si="97"/>
        <v>Off</v>
      </c>
      <c r="AB330" t="str">
        <f t="shared" si="97"/>
        <v>Off</v>
      </c>
      <c r="AC330" t="str">
        <f t="shared" si="97"/>
        <v>Off</v>
      </c>
      <c r="AD330" t="str">
        <f t="shared" si="97"/>
        <v>Off</v>
      </c>
      <c r="AE330" t="str">
        <f t="shared" si="97"/>
        <v>Off</v>
      </c>
      <c r="AF330" t="str">
        <f t="shared" si="97"/>
        <v>Off</v>
      </c>
      <c r="AG330" t="str">
        <f t="shared" si="97"/>
        <v>Off</v>
      </c>
      <c r="AH330" t="str">
        <f t="shared" si="97"/>
        <v>Off</v>
      </c>
      <c r="AI330" t="str">
        <f t="shared" si="98"/>
        <v>Off</v>
      </c>
      <c r="AJ330" t="str">
        <f t="shared" si="98"/>
        <v>Off</v>
      </c>
      <c r="AK330" t="str">
        <f t="shared" si="98"/>
        <v>Off</v>
      </c>
      <c r="AL330" t="str">
        <f t="shared" si="98"/>
        <v>Off</v>
      </c>
      <c r="AM330" t="str">
        <f t="shared" si="98"/>
        <v>Off</v>
      </c>
      <c r="AN330" t="str">
        <f t="shared" si="98"/>
        <v>Off</v>
      </c>
      <c r="AO330" t="str">
        <f t="shared" si="98"/>
        <v>Off</v>
      </c>
      <c r="AP330" t="str">
        <f t="shared" si="98"/>
        <v>Off</v>
      </c>
      <c r="AQ330" t="str">
        <f t="shared" si="98"/>
        <v>Off</v>
      </c>
      <c r="AR330" t="str">
        <f t="shared" si="98"/>
        <v>Off</v>
      </c>
      <c r="AS330" t="str">
        <f t="shared" si="99"/>
        <v>Off</v>
      </c>
      <c r="AT330" t="str">
        <f t="shared" si="99"/>
        <v>Off</v>
      </c>
      <c r="AU330" t="str">
        <f t="shared" si="99"/>
        <v>Off</v>
      </c>
      <c r="AV330" t="str">
        <f t="shared" si="99"/>
        <v>Off</v>
      </c>
      <c r="AW330" t="str">
        <f t="shared" si="99"/>
        <v>Off</v>
      </c>
      <c r="AX330" t="str">
        <f t="shared" si="99"/>
        <v>Off</v>
      </c>
      <c r="AY330" t="str">
        <f t="shared" si="99"/>
        <v>Off</v>
      </c>
      <c r="AZ330" t="str">
        <f t="shared" si="99"/>
        <v>Off</v>
      </c>
      <c r="BA330" t="str">
        <f t="shared" si="99"/>
        <v>Off</v>
      </c>
      <c r="BB330" t="str">
        <f t="shared" si="99"/>
        <v>Off</v>
      </c>
      <c r="BC330" t="str">
        <f t="shared" si="100"/>
        <v>Off</v>
      </c>
      <c r="BD330" t="str">
        <f t="shared" si="100"/>
        <v>Off</v>
      </c>
      <c r="BE330" t="str">
        <f t="shared" si="100"/>
        <v>Off</v>
      </c>
      <c r="BF330" t="str">
        <f t="shared" si="100"/>
        <v>Off</v>
      </c>
      <c r="BG330" t="str">
        <f t="shared" si="100"/>
        <v>Off</v>
      </c>
      <c r="BH330" t="str">
        <f t="shared" si="100"/>
        <v>Off</v>
      </c>
      <c r="BI330" t="str">
        <f t="shared" si="100"/>
        <v>Off</v>
      </c>
      <c r="BJ330" t="str">
        <f t="shared" si="100"/>
        <v>Off</v>
      </c>
      <c r="BK330" t="str">
        <f t="shared" si="100"/>
        <v>Off</v>
      </c>
      <c r="BL330" t="str">
        <f t="shared" si="100"/>
        <v>Off</v>
      </c>
      <c r="BM330" t="str">
        <f t="shared" si="101"/>
        <v>Off</v>
      </c>
      <c r="BN330" t="str">
        <f t="shared" si="101"/>
        <v>Off</v>
      </c>
      <c r="BO330" t="str">
        <f t="shared" si="101"/>
        <v>Off</v>
      </c>
      <c r="BP330" t="str">
        <f t="shared" si="101"/>
        <v>Off</v>
      </c>
      <c r="BQ330" t="str">
        <f t="shared" si="101"/>
        <v>Off</v>
      </c>
      <c r="BR330" t="str">
        <f t="shared" si="101"/>
        <v>Off</v>
      </c>
      <c r="BS330" t="str">
        <f t="shared" si="101"/>
        <v>Off</v>
      </c>
      <c r="BT330" t="str">
        <f t="shared" si="101"/>
        <v>Off</v>
      </c>
      <c r="BU330" t="str">
        <f t="shared" si="101"/>
        <v>Off</v>
      </c>
      <c r="BV330" t="str">
        <f t="shared" si="101"/>
        <v>Off</v>
      </c>
      <c r="BW330" t="str">
        <f t="shared" si="102"/>
        <v>Off</v>
      </c>
      <c r="BX330" t="str">
        <f t="shared" si="102"/>
        <v>Off</v>
      </c>
      <c r="BY330" t="str">
        <f t="shared" si="102"/>
        <v>Off</v>
      </c>
      <c r="BZ330" t="str">
        <f t="shared" si="102"/>
        <v>Off</v>
      </c>
      <c r="CA330" t="str">
        <f t="shared" si="102"/>
        <v>Off</v>
      </c>
      <c r="CB330" t="str">
        <f t="shared" si="102"/>
        <v>Off</v>
      </c>
      <c r="CC330" t="str">
        <f t="shared" si="102"/>
        <v>Off</v>
      </c>
      <c r="CD330" t="str">
        <f t="shared" si="102"/>
        <v>Off</v>
      </c>
      <c r="CE330" t="str">
        <f t="shared" si="102"/>
        <v>Off</v>
      </c>
      <c r="CF330" t="str">
        <f t="shared" si="102"/>
        <v>Off</v>
      </c>
      <c r="CG330" t="str">
        <f t="shared" si="103"/>
        <v>Off</v>
      </c>
      <c r="CH330" t="str">
        <f t="shared" si="103"/>
        <v>Off</v>
      </c>
      <c r="CI330" t="str">
        <f t="shared" si="103"/>
        <v>Off</v>
      </c>
      <c r="CJ330" t="str">
        <f t="shared" si="103"/>
        <v>Off</v>
      </c>
      <c r="CK330" t="str">
        <f t="shared" si="103"/>
        <v>Off</v>
      </c>
      <c r="CL330" t="str">
        <f t="shared" si="103"/>
        <v>Off</v>
      </c>
      <c r="CM330" t="str">
        <f t="shared" si="103"/>
        <v>Off</v>
      </c>
      <c r="CN330" t="str">
        <f t="shared" si="103"/>
        <v>Off</v>
      </c>
      <c r="CO330" t="str">
        <f t="shared" si="103"/>
        <v>Off</v>
      </c>
      <c r="CP330" t="str">
        <f t="shared" si="103"/>
        <v>Off</v>
      </c>
      <c r="CQ330" t="str">
        <f t="shared" si="104"/>
        <v>Off</v>
      </c>
      <c r="CR330" t="str">
        <f t="shared" si="104"/>
        <v>Off</v>
      </c>
      <c r="CS330" t="str">
        <f t="shared" si="104"/>
        <v>Off</v>
      </c>
      <c r="CT330" t="str">
        <f t="shared" si="104"/>
        <v>Off</v>
      </c>
      <c r="CU330" t="str">
        <f t="shared" si="104"/>
        <v>Off</v>
      </c>
      <c r="CV330" t="str">
        <f t="shared" si="104"/>
        <v>Off</v>
      </c>
      <c r="CW330" t="str">
        <f t="shared" si="104"/>
        <v>Off</v>
      </c>
    </row>
    <row r="331" spans="1:101">
      <c r="A331" t="s">
        <v>1463</v>
      </c>
      <c r="B331" t="str">
        <f t="shared" si="105"/>
        <v>On</v>
      </c>
      <c r="C331" t="str">
        <f t="shared" si="108"/>
        <v>On</v>
      </c>
      <c r="D331" t="str">
        <f t="shared" si="108"/>
        <v>On</v>
      </c>
      <c r="E331" t="str">
        <f t="shared" si="109"/>
        <v>Off</v>
      </c>
      <c r="F331" t="str">
        <f t="shared" si="109"/>
        <v>Off</v>
      </c>
      <c r="G331" t="str">
        <f t="shared" si="106"/>
        <v>Off</v>
      </c>
      <c r="H331" t="str">
        <f>"On"</f>
        <v>On</v>
      </c>
      <c r="I331" t="str">
        <f t="shared" si="110"/>
        <v>Off</v>
      </c>
      <c r="J331" t="str">
        <f t="shared" si="53"/>
        <v>Off</v>
      </c>
      <c r="K331" t="str">
        <f t="shared" si="63"/>
        <v>Off</v>
      </c>
      <c r="L331" t="str">
        <f t="shared" si="93"/>
        <v>Off</v>
      </c>
      <c r="M331" t="str">
        <f t="shared" si="107"/>
        <v>Off</v>
      </c>
      <c r="N331" t="str">
        <f t="shared" si="107"/>
        <v>Off</v>
      </c>
      <c r="O331" t="str">
        <f t="shared" si="96"/>
        <v>Off</v>
      </c>
      <c r="P331" t="str">
        <f t="shared" si="96"/>
        <v>Off</v>
      </c>
      <c r="Q331" t="str">
        <f t="shared" si="96"/>
        <v>Off</v>
      </c>
      <c r="R331" t="str">
        <f t="shared" si="96"/>
        <v>Off</v>
      </c>
      <c r="S331" t="str">
        <f t="shared" si="96"/>
        <v>Off</v>
      </c>
      <c r="T331" t="str">
        <f t="shared" si="96"/>
        <v>Off</v>
      </c>
      <c r="U331" t="str">
        <f t="shared" si="96"/>
        <v>Off</v>
      </c>
      <c r="V331" t="str">
        <f t="shared" si="96"/>
        <v>Off</v>
      </c>
      <c r="W331" t="str">
        <f t="shared" si="96"/>
        <v>Off</v>
      </c>
      <c r="X331" t="str">
        <f t="shared" si="96"/>
        <v>Off</v>
      </c>
      <c r="Y331" t="str">
        <f t="shared" si="97"/>
        <v>Off</v>
      </c>
      <c r="Z331" t="str">
        <f t="shared" si="97"/>
        <v>Off</v>
      </c>
      <c r="AA331" t="str">
        <f t="shared" si="97"/>
        <v>Off</v>
      </c>
      <c r="AB331" t="str">
        <f t="shared" si="97"/>
        <v>Off</v>
      </c>
      <c r="AC331" t="str">
        <f t="shared" si="97"/>
        <v>Off</v>
      </c>
      <c r="AD331" t="str">
        <f t="shared" si="97"/>
        <v>Off</v>
      </c>
      <c r="AE331" t="str">
        <f t="shared" si="97"/>
        <v>Off</v>
      </c>
      <c r="AF331" t="str">
        <f t="shared" si="97"/>
        <v>Off</v>
      </c>
      <c r="AG331" t="str">
        <f t="shared" si="97"/>
        <v>Off</v>
      </c>
      <c r="AH331" t="str">
        <f t="shared" si="97"/>
        <v>Off</v>
      </c>
      <c r="AI331" t="str">
        <f t="shared" si="98"/>
        <v>Off</v>
      </c>
      <c r="AJ331" t="str">
        <f t="shared" si="98"/>
        <v>Off</v>
      </c>
      <c r="AK331" t="str">
        <f t="shared" si="98"/>
        <v>Off</v>
      </c>
      <c r="AL331" t="str">
        <f t="shared" si="98"/>
        <v>Off</v>
      </c>
      <c r="AM331" t="str">
        <f t="shared" si="98"/>
        <v>Off</v>
      </c>
      <c r="AN331" t="str">
        <f t="shared" si="98"/>
        <v>Off</v>
      </c>
      <c r="AO331" t="str">
        <f t="shared" si="98"/>
        <v>Off</v>
      </c>
      <c r="AP331" t="str">
        <f t="shared" si="98"/>
        <v>Off</v>
      </c>
      <c r="AQ331" t="str">
        <f t="shared" si="98"/>
        <v>Off</v>
      </c>
      <c r="AR331" t="str">
        <f t="shared" si="98"/>
        <v>Off</v>
      </c>
      <c r="AS331" t="str">
        <f t="shared" si="99"/>
        <v>Off</v>
      </c>
      <c r="AT331" t="str">
        <f t="shared" si="99"/>
        <v>Off</v>
      </c>
      <c r="AU331" t="str">
        <f t="shared" si="99"/>
        <v>Off</v>
      </c>
      <c r="AV331" t="str">
        <f t="shared" si="99"/>
        <v>Off</v>
      </c>
      <c r="AW331" t="str">
        <f t="shared" si="99"/>
        <v>Off</v>
      </c>
      <c r="AX331" t="str">
        <f t="shared" si="99"/>
        <v>Off</v>
      </c>
      <c r="AY331" t="str">
        <f t="shared" si="99"/>
        <v>Off</v>
      </c>
      <c r="AZ331" t="str">
        <f t="shared" si="99"/>
        <v>Off</v>
      </c>
      <c r="BA331" t="str">
        <f t="shared" si="99"/>
        <v>Off</v>
      </c>
      <c r="BB331" t="str">
        <f t="shared" si="99"/>
        <v>Off</v>
      </c>
      <c r="BC331" t="str">
        <f t="shared" si="100"/>
        <v>Off</v>
      </c>
      <c r="BD331" t="str">
        <f t="shared" si="100"/>
        <v>Off</v>
      </c>
      <c r="BE331" t="str">
        <f t="shared" si="100"/>
        <v>Off</v>
      </c>
      <c r="BF331" t="str">
        <f t="shared" si="100"/>
        <v>Off</v>
      </c>
      <c r="BG331" t="str">
        <f t="shared" si="100"/>
        <v>Off</v>
      </c>
      <c r="BH331" t="str">
        <f t="shared" si="100"/>
        <v>Off</v>
      </c>
      <c r="BI331" t="str">
        <f t="shared" si="100"/>
        <v>Off</v>
      </c>
      <c r="BJ331" t="str">
        <f t="shared" si="100"/>
        <v>Off</v>
      </c>
      <c r="BK331" t="str">
        <f t="shared" si="100"/>
        <v>Off</v>
      </c>
      <c r="BL331" t="str">
        <f t="shared" si="100"/>
        <v>Off</v>
      </c>
      <c r="BM331" t="str">
        <f t="shared" si="101"/>
        <v>Off</v>
      </c>
      <c r="BN331" t="str">
        <f t="shared" si="101"/>
        <v>Off</v>
      </c>
      <c r="BO331" t="str">
        <f t="shared" si="101"/>
        <v>Off</v>
      </c>
      <c r="BP331" t="str">
        <f t="shared" si="101"/>
        <v>Off</v>
      </c>
      <c r="BQ331" t="str">
        <f t="shared" si="101"/>
        <v>Off</v>
      </c>
      <c r="BR331" t="str">
        <f t="shared" si="101"/>
        <v>Off</v>
      </c>
      <c r="BS331" t="str">
        <f t="shared" si="101"/>
        <v>Off</v>
      </c>
      <c r="BT331" t="str">
        <f t="shared" si="101"/>
        <v>Off</v>
      </c>
      <c r="BU331" t="str">
        <f t="shared" si="101"/>
        <v>Off</v>
      </c>
      <c r="BV331" t="str">
        <f t="shared" si="101"/>
        <v>Off</v>
      </c>
      <c r="BW331" t="str">
        <f t="shared" si="102"/>
        <v>Off</v>
      </c>
      <c r="BX331" t="str">
        <f t="shared" si="102"/>
        <v>Off</v>
      </c>
      <c r="BY331" t="str">
        <f t="shared" si="102"/>
        <v>Off</v>
      </c>
      <c r="BZ331" t="str">
        <f t="shared" si="102"/>
        <v>Off</v>
      </c>
      <c r="CA331" t="str">
        <f t="shared" si="102"/>
        <v>Off</v>
      </c>
      <c r="CB331" t="str">
        <f t="shared" si="102"/>
        <v>Off</v>
      </c>
      <c r="CC331" t="str">
        <f t="shared" si="102"/>
        <v>Off</v>
      </c>
      <c r="CD331" t="str">
        <f t="shared" si="102"/>
        <v>Off</v>
      </c>
      <c r="CE331" t="str">
        <f t="shared" si="102"/>
        <v>Off</v>
      </c>
      <c r="CF331" t="str">
        <f t="shared" si="102"/>
        <v>Off</v>
      </c>
      <c r="CG331" t="str">
        <f t="shared" si="103"/>
        <v>Off</v>
      </c>
      <c r="CH331" t="str">
        <f t="shared" si="103"/>
        <v>Off</v>
      </c>
      <c r="CI331" t="str">
        <f t="shared" si="103"/>
        <v>Off</v>
      </c>
      <c r="CJ331" t="str">
        <f t="shared" si="103"/>
        <v>Off</v>
      </c>
      <c r="CK331" t="str">
        <f t="shared" si="103"/>
        <v>Off</v>
      </c>
      <c r="CL331" t="str">
        <f t="shared" si="103"/>
        <v>Off</v>
      </c>
      <c r="CM331" t="str">
        <f t="shared" si="103"/>
        <v>Off</v>
      </c>
      <c r="CN331" t="str">
        <f t="shared" si="103"/>
        <v>Off</v>
      </c>
      <c r="CO331" t="str">
        <f t="shared" si="103"/>
        <v>Off</v>
      </c>
      <c r="CP331" t="str">
        <f t="shared" si="103"/>
        <v>Off</v>
      </c>
      <c r="CQ331" t="str">
        <f t="shared" si="104"/>
        <v>Off</v>
      </c>
      <c r="CR331" t="str">
        <f t="shared" si="104"/>
        <v>Off</v>
      </c>
      <c r="CS331" t="str">
        <f t="shared" si="104"/>
        <v>Off</v>
      </c>
      <c r="CT331" t="str">
        <f t="shared" si="104"/>
        <v>Off</v>
      </c>
      <c r="CU331" t="str">
        <f t="shared" si="104"/>
        <v>Off</v>
      </c>
      <c r="CV331" t="str">
        <f t="shared" si="104"/>
        <v>Off</v>
      </c>
      <c r="CW331" t="str">
        <f t="shared" si="104"/>
        <v>Off</v>
      </c>
    </row>
    <row r="332" spans="1:101">
      <c r="A332" t="s">
        <v>5</v>
      </c>
      <c r="B332" t="str">
        <f t="shared" si="105"/>
        <v>On</v>
      </c>
      <c r="C332" t="str">
        <f>"Off"</f>
        <v>Off</v>
      </c>
      <c r="D332" t="str">
        <f>"Off"</f>
        <v>Off</v>
      </c>
      <c r="E332" t="str">
        <f>"Off"</f>
        <v>Off</v>
      </c>
      <c r="F332" t="str">
        <f>"On"</f>
        <v>On</v>
      </c>
      <c r="G332" t="str">
        <f>"On"</f>
        <v>On</v>
      </c>
      <c r="H332" t="str">
        <f>"On"</f>
        <v>On</v>
      </c>
      <c r="I332" t="str">
        <f t="shared" si="110"/>
        <v>Off</v>
      </c>
      <c r="J332" t="str">
        <f>"On"</f>
        <v>On</v>
      </c>
      <c r="K332" t="str">
        <f>"On"</f>
        <v>On</v>
      </c>
      <c r="L332" t="str">
        <f t="shared" si="93"/>
        <v>Off</v>
      </c>
      <c r="M332" t="str">
        <f>"Off"</f>
        <v>Off</v>
      </c>
      <c r="N332" t="str">
        <f>"On"</f>
        <v>On</v>
      </c>
      <c r="O332" t="str">
        <f t="shared" si="96"/>
        <v>Off</v>
      </c>
      <c r="P332" t="str">
        <f t="shared" si="96"/>
        <v>Off</v>
      </c>
      <c r="Q332" t="str">
        <f t="shared" si="96"/>
        <v>Off</v>
      </c>
      <c r="R332" t="str">
        <f t="shared" si="96"/>
        <v>Off</v>
      </c>
      <c r="S332" t="str">
        <f t="shared" si="96"/>
        <v>Off</v>
      </c>
      <c r="T332" t="str">
        <f t="shared" si="96"/>
        <v>Off</v>
      </c>
      <c r="U332" t="str">
        <f t="shared" si="96"/>
        <v>Off</v>
      </c>
      <c r="V332" t="str">
        <f t="shared" si="96"/>
        <v>Off</v>
      </c>
      <c r="W332" t="str">
        <f t="shared" si="96"/>
        <v>Off</v>
      </c>
      <c r="X332" t="str">
        <f t="shared" si="96"/>
        <v>Off</v>
      </c>
      <c r="Y332" t="str">
        <f t="shared" si="97"/>
        <v>Off</v>
      </c>
      <c r="Z332" t="str">
        <f t="shared" si="97"/>
        <v>Off</v>
      </c>
      <c r="AA332" t="str">
        <f t="shared" si="97"/>
        <v>Off</v>
      </c>
      <c r="AB332" t="str">
        <f t="shared" si="97"/>
        <v>Off</v>
      </c>
      <c r="AC332" t="str">
        <f t="shared" si="97"/>
        <v>Off</v>
      </c>
      <c r="AD332" t="str">
        <f t="shared" si="97"/>
        <v>Off</v>
      </c>
      <c r="AE332" t="str">
        <f t="shared" si="97"/>
        <v>Off</v>
      </c>
      <c r="AF332" t="str">
        <f t="shared" si="97"/>
        <v>Off</v>
      </c>
      <c r="AG332" t="str">
        <f t="shared" si="97"/>
        <v>Off</v>
      </c>
      <c r="AH332" t="str">
        <f t="shared" si="97"/>
        <v>Off</v>
      </c>
      <c r="AI332" t="str">
        <f t="shared" si="98"/>
        <v>Off</v>
      </c>
      <c r="AJ332" t="str">
        <f t="shared" si="98"/>
        <v>Off</v>
      </c>
      <c r="AK332" t="str">
        <f t="shared" si="98"/>
        <v>Off</v>
      </c>
      <c r="AL332" t="str">
        <f t="shared" si="98"/>
        <v>Off</v>
      </c>
      <c r="AM332" t="str">
        <f t="shared" si="98"/>
        <v>Off</v>
      </c>
      <c r="AN332" t="str">
        <f t="shared" si="98"/>
        <v>Off</v>
      </c>
      <c r="AO332" t="str">
        <f t="shared" si="98"/>
        <v>Off</v>
      </c>
      <c r="AP332" t="str">
        <f t="shared" si="98"/>
        <v>Off</v>
      </c>
      <c r="AQ332" t="str">
        <f t="shared" si="98"/>
        <v>Off</v>
      </c>
      <c r="AR332" t="str">
        <f t="shared" si="98"/>
        <v>Off</v>
      </c>
      <c r="AS332" t="str">
        <f t="shared" si="99"/>
        <v>Off</v>
      </c>
      <c r="AT332" t="str">
        <f t="shared" si="99"/>
        <v>Off</v>
      </c>
      <c r="AU332" t="str">
        <f t="shared" si="99"/>
        <v>Off</v>
      </c>
      <c r="AV332" t="str">
        <f t="shared" si="99"/>
        <v>Off</v>
      </c>
      <c r="AW332" t="str">
        <f t="shared" si="99"/>
        <v>Off</v>
      </c>
      <c r="AX332" t="str">
        <f t="shared" si="99"/>
        <v>Off</v>
      </c>
      <c r="AY332" t="str">
        <f t="shared" si="99"/>
        <v>Off</v>
      </c>
      <c r="AZ332" t="str">
        <f t="shared" si="99"/>
        <v>Off</v>
      </c>
      <c r="BA332" t="str">
        <f t="shared" si="99"/>
        <v>Off</v>
      </c>
      <c r="BB332" t="str">
        <f t="shared" si="99"/>
        <v>Off</v>
      </c>
      <c r="BC332" t="str">
        <f t="shared" si="100"/>
        <v>Off</v>
      </c>
      <c r="BD332" t="str">
        <f t="shared" si="100"/>
        <v>Off</v>
      </c>
      <c r="BE332" t="str">
        <f t="shared" si="100"/>
        <v>Off</v>
      </c>
      <c r="BF332" t="str">
        <f t="shared" si="100"/>
        <v>Off</v>
      </c>
      <c r="BG332" t="str">
        <f t="shared" si="100"/>
        <v>Off</v>
      </c>
      <c r="BH332" t="str">
        <f t="shared" si="100"/>
        <v>Off</v>
      </c>
      <c r="BI332" t="str">
        <f t="shared" si="100"/>
        <v>Off</v>
      </c>
      <c r="BJ332" t="str">
        <f t="shared" si="100"/>
        <v>Off</v>
      </c>
      <c r="BK332" t="str">
        <f t="shared" si="100"/>
        <v>Off</v>
      </c>
      <c r="BL332" t="str">
        <f t="shared" si="100"/>
        <v>Off</v>
      </c>
      <c r="BM332" t="str">
        <f t="shared" si="101"/>
        <v>Off</v>
      </c>
      <c r="BN332" t="str">
        <f t="shared" si="101"/>
        <v>Off</v>
      </c>
      <c r="BO332" t="str">
        <f t="shared" si="101"/>
        <v>Off</v>
      </c>
      <c r="BP332" t="str">
        <f t="shared" si="101"/>
        <v>Off</v>
      </c>
      <c r="BQ332" t="str">
        <f t="shared" si="101"/>
        <v>Off</v>
      </c>
      <c r="BR332" t="str">
        <f t="shared" si="101"/>
        <v>Off</v>
      </c>
      <c r="BS332" t="str">
        <f t="shared" si="101"/>
        <v>Off</v>
      </c>
      <c r="BT332" t="str">
        <f t="shared" si="101"/>
        <v>Off</v>
      </c>
      <c r="BU332" t="str">
        <f t="shared" si="101"/>
        <v>Off</v>
      </c>
      <c r="BV332" t="str">
        <f t="shared" si="101"/>
        <v>Off</v>
      </c>
      <c r="BW332" t="str">
        <f t="shared" si="102"/>
        <v>Off</v>
      </c>
      <c r="BX332" t="str">
        <f t="shared" si="102"/>
        <v>Off</v>
      </c>
      <c r="BY332" t="str">
        <f t="shared" si="102"/>
        <v>Off</v>
      </c>
      <c r="BZ332" t="str">
        <f t="shared" si="102"/>
        <v>Off</v>
      </c>
      <c r="CA332" t="str">
        <f t="shared" si="102"/>
        <v>Off</v>
      </c>
      <c r="CB332" t="str">
        <f t="shared" si="102"/>
        <v>Off</v>
      </c>
      <c r="CC332" t="str">
        <f t="shared" si="102"/>
        <v>Off</v>
      </c>
      <c r="CD332" t="str">
        <f t="shared" si="102"/>
        <v>Off</v>
      </c>
      <c r="CE332" t="str">
        <f t="shared" si="102"/>
        <v>Off</v>
      </c>
      <c r="CF332" t="str">
        <f t="shared" si="102"/>
        <v>Off</v>
      </c>
      <c r="CG332" t="str">
        <f t="shared" si="103"/>
        <v>Off</v>
      </c>
      <c r="CH332" t="str">
        <f t="shared" si="103"/>
        <v>Off</v>
      </c>
      <c r="CI332" t="str">
        <f t="shared" si="103"/>
        <v>Off</v>
      </c>
      <c r="CJ332" t="str">
        <f t="shared" si="103"/>
        <v>Off</v>
      </c>
      <c r="CK332" t="str">
        <f t="shared" si="103"/>
        <v>Off</v>
      </c>
      <c r="CL332" t="str">
        <f t="shared" si="103"/>
        <v>Off</v>
      </c>
      <c r="CM332" t="str">
        <f t="shared" si="103"/>
        <v>Off</v>
      </c>
      <c r="CN332" t="str">
        <f t="shared" si="103"/>
        <v>Off</v>
      </c>
      <c r="CO332" t="str">
        <f t="shared" si="103"/>
        <v>Off</v>
      </c>
      <c r="CP332" t="str">
        <f t="shared" si="103"/>
        <v>Off</v>
      </c>
      <c r="CQ332" t="str">
        <f t="shared" si="104"/>
        <v>Off</v>
      </c>
      <c r="CR332" t="str">
        <f t="shared" si="104"/>
        <v>Off</v>
      </c>
      <c r="CS332" t="str">
        <f t="shared" si="104"/>
        <v>Off</v>
      </c>
      <c r="CT332" t="str">
        <f t="shared" si="104"/>
        <v>Off</v>
      </c>
      <c r="CU332" t="str">
        <f t="shared" si="104"/>
        <v>Off</v>
      </c>
      <c r="CV332" t="str">
        <f t="shared" si="104"/>
        <v>Off</v>
      </c>
      <c r="CW332" t="str">
        <f t="shared" si="104"/>
        <v>Off</v>
      </c>
    </row>
    <row r="333" spans="1:101">
      <c r="A333" t="s">
        <v>1464</v>
      </c>
      <c r="B333" t="str">
        <f t="shared" si="105"/>
        <v>On</v>
      </c>
      <c r="C333" t="str">
        <f>"On"</f>
        <v>On</v>
      </c>
      <c r="D333" t="str">
        <f>"On"</f>
        <v>On</v>
      </c>
      <c r="E333" t="str">
        <f t="shared" ref="E333:H334" si="111">"Off"</f>
        <v>Off</v>
      </c>
      <c r="F333" t="str">
        <f t="shared" si="111"/>
        <v>Off</v>
      </c>
      <c r="G333" t="str">
        <f t="shared" si="111"/>
        <v>Off</v>
      </c>
      <c r="H333" t="str">
        <f t="shared" si="111"/>
        <v>Off</v>
      </c>
      <c r="I333" t="str">
        <f t="shared" si="110"/>
        <v>Off</v>
      </c>
      <c r="J333" t="str">
        <f>"Off"</f>
        <v>Off</v>
      </c>
      <c r="K333" t="str">
        <f>"On"</f>
        <v>On</v>
      </c>
      <c r="L333" t="str">
        <f>"On"</f>
        <v>On</v>
      </c>
      <c r="M333" t="str">
        <f>"On"</f>
        <v>On</v>
      </c>
      <c r="N333" t="str">
        <f>"Off"</f>
        <v>Off</v>
      </c>
      <c r="O333" t="str">
        <f t="shared" si="96"/>
        <v>Off</v>
      </c>
      <c r="P333" t="str">
        <f t="shared" si="96"/>
        <v>Off</v>
      </c>
      <c r="Q333" t="str">
        <f t="shared" si="96"/>
        <v>Off</v>
      </c>
      <c r="R333" t="str">
        <f t="shared" si="96"/>
        <v>Off</v>
      </c>
      <c r="S333" t="str">
        <f t="shared" si="96"/>
        <v>Off</v>
      </c>
      <c r="T333" t="str">
        <f t="shared" si="96"/>
        <v>Off</v>
      </c>
      <c r="U333" t="str">
        <f t="shared" si="96"/>
        <v>Off</v>
      </c>
      <c r="V333" t="str">
        <f t="shared" si="96"/>
        <v>Off</v>
      </c>
      <c r="W333" t="str">
        <f t="shared" si="96"/>
        <v>Off</v>
      </c>
      <c r="X333" t="str">
        <f t="shared" si="96"/>
        <v>Off</v>
      </c>
      <c r="Y333" t="str">
        <f t="shared" si="97"/>
        <v>Off</v>
      </c>
      <c r="Z333" t="str">
        <f t="shared" si="97"/>
        <v>Off</v>
      </c>
      <c r="AA333" t="str">
        <f t="shared" si="97"/>
        <v>Off</v>
      </c>
      <c r="AB333" t="str">
        <f t="shared" si="97"/>
        <v>Off</v>
      </c>
      <c r="AC333" t="str">
        <f t="shared" si="97"/>
        <v>Off</v>
      </c>
      <c r="AD333" t="str">
        <f t="shared" si="97"/>
        <v>Off</v>
      </c>
      <c r="AE333" t="str">
        <f t="shared" si="97"/>
        <v>Off</v>
      </c>
      <c r="AF333" t="str">
        <f t="shared" si="97"/>
        <v>Off</v>
      </c>
      <c r="AG333" t="str">
        <f t="shared" si="97"/>
        <v>Off</v>
      </c>
      <c r="AH333" t="str">
        <f t="shared" si="97"/>
        <v>Off</v>
      </c>
      <c r="AI333" t="str">
        <f t="shared" si="98"/>
        <v>Off</v>
      </c>
      <c r="AJ333" t="str">
        <f t="shared" si="98"/>
        <v>Off</v>
      </c>
      <c r="AK333" t="str">
        <f t="shared" si="98"/>
        <v>Off</v>
      </c>
      <c r="AL333" t="str">
        <f t="shared" si="98"/>
        <v>Off</v>
      </c>
      <c r="AM333" t="str">
        <f t="shared" si="98"/>
        <v>Off</v>
      </c>
      <c r="AN333" t="str">
        <f t="shared" si="98"/>
        <v>Off</v>
      </c>
      <c r="AO333" t="str">
        <f t="shared" si="98"/>
        <v>Off</v>
      </c>
      <c r="AP333" t="str">
        <f t="shared" si="98"/>
        <v>Off</v>
      </c>
      <c r="AQ333" t="str">
        <f t="shared" si="98"/>
        <v>Off</v>
      </c>
      <c r="AR333" t="str">
        <f t="shared" si="98"/>
        <v>Off</v>
      </c>
      <c r="AS333" t="str">
        <f t="shared" si="99"/>
        <v>Off</v>
      </c>
      <c r="AT333" t="str">
        <f t="shared" si="99"/>
        <v>Off</v>
      </c>
      <c r="AU333" t="str">
        <f t="shared" si="99"/>
        <v>Off</v>
      </c>
      <c r="AV333" t="str">
        <f t="shared" si="99"/>
        <v>Off</v>
      </c>
      <c r="AW333" t="str">
        <f t="shared" si="99"/>
        <v>Off</v>
      </c>
      <c r="AX333" t="str">
        <f t="shared" si="99"/>
        <v>Off</v>
      </c>
      <c r="AY333" t="str">
        <f t="shared" si="99"/>
        <v>Off</v>
      </c>
      <c r="AZ333" t="str">
        <f t="shared" si="99"/>
        <v>Off</v>
      </c>
      <c r="BA333" t="str">
        <f t="shared" si="99"/>
        <v>Off</v>
      </c>
      <c r="BB333" t="str">
        <f t="shared" si="99"/>
        <v>Off</v>
      </c>
      <c r="BC333" t="str">
        <f t="shared" si="100"/>
        <v>Off</v>
      </c>
      <c r="BD333" t="str">
        <f t="shared" si="100"/>
        <v>Off</v>
      </c>
      <c r="BE333" t="str">
        <f t="shared" si="100"/>
        <v>Off</v>
      </c>
      <c r="BF333" t="str">
        <f t="shared" si="100"/>
        <v>Off</v>
      </c>
      <c r="BG333" t="str">
        <f t="shared" si="100"/>
        <v>Off</v>
      </c>
      <c r="BH333" t="str">
        <f t="shared" si="100"/>
        <v>Off</v>
      </c>
      <c r="BI333" t="str">
        <f t="shared" si="100"/>
        <v>Off</v>
      </c>
      <c r="BJ333" t="str">
        <f t="shared" si="100"/>
        <v>Off</v>
      </c>
      <c r="BK333" t="str">
        <f t="shared" si="100"/>
        <v>Off</v>
      </c>
      <c r="BL333" t="str">
        <f t="shared" si="100"/>
        <v>Off</v>
      </c>
      <c r="BM333" t="str">
        <f t="shared" si="101"/>
        <v>Off</v>
      </c>
      <c r="BN333" t="str">
        <f t="shared" si="101"/>
        <v>Off</v>
      </c>
      <c r="BO333" t="str">
        <f t="shared" si="101"/>
        <v>Off</v>
      </c>
      <c r="BP333" t="str">
        <f t="shared" si="101"/>
        <v>Off</v>
      </c>
      <c r="BQ333" t="str">
        <f t="shared" si="101"/>
        <v>Off</v>
      </c>
      <c r="BR333" t="str">
        <f t="shared" si="101"/>
        <v>Off</v>
      </c>
      <c r="BS333" t="str">
        <f t="shared" si="101"/>
        <v>Off</v>
      </c>
      <c r="BT333" t="str">
        <f t="shared" si="101"/>
        <v>Off</v>
      </c>
      <c r="BU333" t="str">
        <f t="shared" si="101"/>
        <v>Off</v>
      </c>
      <c r="BV333" t="str">
        <f t="shared" si="101"/>
        <v>Off</v>
      </c>
      <c r="BW333" t="str">
        <f t="shared" si="102"/>
        <v>Off</v>
      </c>
      <c r="BX333" t="str">
        <f t="shared" si="102"/>
        <v>Off</v>
      </c>
      <c r="BY333" t="str">
        <f t="shared" si="102"/>
        <v>Off</v>
      </c>
      <c r="BZ333" t="str">
        <f t="shared" si="102"/>
        <v>Off</v>
      </c>
      <c r="CA333" t="str">
        <f t="shared" si="102"/>
        <v>Off</v>
      </c>
      <c r="CB333" t="str">
        <f t="shared" si="102"/>
        <v>Off</v>
      </c>
      <c r="CC333" t="str">
        <f t="shared" si="102"/>
        <v>Off</v>
      </c>
      <c r="CD333" t="str">
        <f t="shared" si="102"/>
        <v>Off</v>
      </c>
      <c r="CE333" t="str">
        <f t="shared" si="102"/>
        <v>Off</v>
      </c>
      <c r="CF333" t="str">
        <f t="shared" si="102"/>
        <v>Off</v>
      </c>
      <c r="CG333" t="str">
        <f t="shared" si="103"/>
        <v>Off</v>
      </c>
      <c r="CH333" t="str">
        <f t="shared" si="103"/>
        <v>Off</v>
      </c>
      <c r="CI333" t="str">
        <f t="shared" si="103"/>
        <v>Off</v>
      </c>
      <c r="CJ333" t="str">
        <f t="shared" si="103"/>
        <v>Off</v>
      </c>
      <c r="CK333" t="str">
        <f t="shared" si="103"/>
        <v>Off</v>
      </c>
      <c r="CL333" t="str">
        <f t="shared" si="103"/>
        <v>Off</v>
      </c>
      <c r="CM333" t="str">
        <f t="shared" si="103"/>
        <v>Off</v>
      </c>
      <c r="CN333" t="str">
        <f t="shared" si="103"/>
        <v>Off</v>
      </c>
      <c r="CO333" t="str">
        <f t="shared" si="103"/>
        <v>Off</v>
      </c>
      <c r="CP333" t="str">
        <f t="shared" si="103"/>
        <v>Off</v>
      </c>
      <c r="CQ333" t="str">
        <f t="shared" si="104"/>
        <v>Off</v>
      </c>
      <c r="CR333" t="str">
        <f t="shared" si="104"/>
        <v>Off</v>
      </c>
      <c r="CS333" t="str">
        <f t="shared" si="104"/>
        <v>Off</v>
      </c>
      <c r="CT333" t="str">
        <f t="shared" si="104"/>
        <v>Off</v>
      </c>
      <c r="CU333" t="str">
        <f t="shared" si="104"/>
        <v>Off</v>
      </c>
      <c r="CV333" t="str">
        <f t="shared" si="104"/>
        <v>Off</v>
      </c>
      <c r="CW333" t="str">
        <f t="shared" si="104"/>
        <v>Off</v>
      </c>
    </row>
    <row r="334" spans="1:101">
      <c r="A334" t="s">
        <v>1465</v>
      </c>
      <c r="B334" t="str">
        <f t="shared" si="105"/>
        <v>On</v>
      </c>
      <c r="C334" t="str">
        <f>"On"</f>
        <v>On</v>
      </c>
      <c r="D334" t="str">
        <f>"On"</f>
        <v>On</v>
      </c>
      <c r="E334" t="str">
        <f t="shared" si="111"/>
        <v>Off</v>
      </c>
      <c r="F334" t="str">
        <f t="shared" si="111"/>
        <v>Off</v>
      </c>
      <c r="G334" t="str">
        <f t="shared" si="111"/>
        <v>Off</v>
      </c>
      <c r="H334" t="str">
        <f t="shared" si="111"/>
        <v>Off</v>
      </c>
      <c r="I334" t="str">
        <f t="shared" si="110"/>
        <v>Off</v>
      </c>
      <c r="J334" t="str">
        <f>"Off"</f>
        <v>Off</v>
      </c>
      <c r="K334" t="str">
        <f>"Off"</f>
        <v>Off</v>
      </c>
      <c r="L334" t="str">
        <f>"Off"</f>
        <v>Off</v>
      </c>
      <c r="M334" t="str">
        <f>"Off"</f>
        <v>Off</v>
      </c>
      <c r="N334" t="str">
        <f>"Off"</f>
        <v>Off</v>
      </c>
      <c r="O334" t="str">
        <f t="shared" si="96"/>
        <v>Off</v>
      </c>
      <c r="P334" t="str">
        <f t="shared" si="96"/>
        <v>Off</v>
      </c>
      <c r="Q334" t="str">
        <f t="shared" si="96"/>
        <v>Off</v>
      </c>
      <c r="R334" t="str">
        <f t="shared" si="96"/>
        <v>Off</v>
      </c>
      <c r="S334" t="str">
        <f t="shared" si="96"/>
        <v>Off</v>
      </c>
      <c r="T334" t="str">
        <f t="shared" si="96"/>
        <v>Off</v>
      </c>
      <c r="U334" t="str">
        <f t="shared" si="96"/>
        <v>Off</v>
      </c>
      <c r="V334" t="str">
        <f t="shared" si="96"/>
        <v>Off</v>
      </c>
      <c r="W334" t="str">
        <f t="shared" si="96"/>
        <v>Off</v>
      </c>
      <c r="X334" t="str">
        <f t="shared" si="96"/>
        <v>Off</v>
      </c>
      <c r="Y334" t="str">
        <f t="shared" si="97"/>
        <v>Off</v>
      </c>
      <c r="Z334" t="str">
        <f t="shared" si="97"/>
        <v>Off</v>
      </c>
      <c r="AA334" t="str">
        <f t="shared" si="97"/>
        <v>Off</v>
      </c>
      <c r="AB334" t="str">
        <f t="shared" si="97"/>
        <v>Off</v>
      </c>
      <c r="AC334" t="str">
        <f t="shared" si="97"/>
        <v>Off</v>
      </c>
      <c r="AD334" t="str">
        <f t="shared" si="97"/>
        <v>Off</v>
      </c>
      <c r="AE334" t="str">
        <f t="shared" si="97"/>
        <v>Off</v>
      </c>
      <c r="AF334" t="str">
        <f t="shared" si="97"/>
        <v>Off</v>
      </c>
      <c r="AG334" t="str">
        <f t="shared" si="97"/>
        <v>Off</v>
      </c>
      <c r="AH334" t="str">
        <f t="shared" si="97"/>
        <v>Off</v>
      </c>
      <c r="AI334" t="str">
        <f t="shared" si="98"/>
        <v>Off</v>
      </c>
      <c r="AJ334" t="str">
        <f t="shared" si="98"/>
        <v>Off</v>
      </c>
      <c r="AK334" t="str">
        <f t="shared" si="98"/>
        <v>Off</v>
      </c>
      <c r="AL334" t="str">
        <f t="shared" si="98"/>
        <v>Off</v>
      </c>
      <c r="AM334" t="str">
        <f t="shared" si="98"/>
        <v>Off</v>
      </c>
      <c r="AN334" t="str">
        <f t="shared" si="98"/>
        <v>Off</v>
      </c>
      <c r="AO334" t="str">
        <f t="shared" si="98"/>
        <v>Off</v>
      </c>
      <c r="AP334" t="str">
        <f t="shared" si="98"/>
        <v>Off</v>
      </c>
      <c r="AQ334" t="str">
        <f t="shared" si="98"/>
        <v>Off</v>
      </c>
      <c r="AR334" t="str">
        <f t="shared" si="98"/>
        <v>Off</v>
      </c>
      <c r="AS334" t="str">
        <f t="shared" si="99"/>
        <v>Off</v>
      </c>
      <c r="AT334" t="str">
        <f t="shared" si="99"/>
        <v>Off</v>
      </c>
      <c r="AU334" t="str">
        <f t="shared" si="99"/>
        <v>Off</v>
      </c>
      <c r="AV334" t="str">
        <f t="shared" si="99"/>
        <v>Off</v>
      </c>
      <c r="AW334" t="str">
        <f t="shared" si="99"/>
        <v>Off</v>
      </c>
      <c r="AX334" t="str">
        <f t="shared" si="99"/>
        <v>Off</v>
      </c>
      <c r="AY334" t="str">
        <f t="shared" si="99"/>
        <v>Off</v>
      </c>
      <c r="AZ334" t="str">
        <f t="shared" si="99"/>
        <v>Off</v>
      </c>
      <c r="BA334" t="str">
        <f t="shared" si="99"/>
        <v>Off</v>
      </c>
      <c r="BB334" t="str">
        <f t="shared" si="99"/>
        <v>Off</v>
      </c>
      <c r="BC334" t="str">
        <f t="shared" si="100"/>
        <v>Off</v>
      </c>
      <c r="BD334" t="str">
        <f t="shared" si="100"/>
        <v>Off</v>
      </c>
      <c r="BE334" t="str">
        <f t="shared" si="100"/>
        <v>Off</v>
      </c>
      <c r="BF334" t="str">
        <f t="shared" si="100"/>
        <v>Off</v>
      </c>
      <c r="BG334" t="str">
        <f t="shared" si="100"/>
        <v>Off</v>
      </c>
      <c r="BH334" t="str">
        <f t="shared" si="100"/>
        <v>Off</v>
      </c>
      <c r="BI334" t="str">
        <f t="shared" si="100"/>
        <v>Off</v>
      </c>
      <c r="BJ334" t="str">
        <f t="shared" si="100"/>
        <v>Off</v>
      </c>
      <c r="BK334" t="str">
        <f t="shared" si="100"/>
        <v>Off</v>
      </c>
      <c r="BL334" t="str">
        <f t="shared" si="100"/>
        <v>Off</v>
      </c>
      <c r="BM334" t="str">
        <f t="shared" si="101"/>
        <v>Off</v>
      </c>
      <c r="BN334" t="str">
        <f t="shared" si="101"/>
        <v>Off</v>
      </c>
      <c r="BO334" t="str">
        <f t="shared" si="101"/>
        <v>Off</v>
      </c>
      <c r="BP334" t="str">
        <f t="shared" si="101"/>
        <v>Off</v>
      </c>
      <c r="BQ334" t="str">
        <f t="shared" si="101"/>
        <v>Off</v>
      </c>
      <c r="BR334" t="str">
        <f t="shared" si="101"/>
        <v>Off</v>
      </c>
      <c r="BS334" t="str">
        <f t="shared" si="101"/>
        <v>Off</v>
      </c>
      <c r="BT334" t="str">
        <f t="shared" si="101"/>
        <v>Off</v>
      </c>
      <c r="BU334" t="str">
        <f t="shared" si="101"/>
        <v>Off</v>
      </c>
      <c r="BV334" t="str">
        <f t="shared" si="101"/>
        <v>Off</v>
      </c>
      <c r="BW334" t="str">
        <f t="shared" si="102"/>
        <v>Off</v>
      </c>
      <c r="BX334" t="str">
        <f t="shared" si="102"/>
        <v>Off</v>
      </c>
      <c r="BY334" t="str">
        <f t="shared" si="102"/>
        <v>Off</v>
      </c>
      <c r="BZ334" t="str">
        <f t="shared" si="102"/>
        <v>Off</v>
      </c>
      <c r="CA334" t="str">
        <f t="shared" si="102"/>
        <v>Off</v>
      </c>
      <c r="CB334" t="str">
        <f t="shared" si="102"/>
        <v>Off</v>
      </c>
      <c r="CC334" t="str">
        <f t="shared" si="102"/>
        <v>Off</v>
      </c>
      <c r="CD334" t="str">
        <f t="shared" si="102"/>
        <v>Off</v>
      </c>
      <c r="CE334" t="str">
        <f t="shared" si="102"/>
        <v>Off</v>
      </c>
      <c r="CF334" t="str">
        <f t="shared" si="102"/>
        <v>Off</v>
      </c>
      <c r="CG334" t="str">
        <f t="shared" si="103"/>
        <v>Off</v>
      </c>
      <c r="CH334" t="str">
        <f t="shared" si="103"/>
        <v>Off</v>
      </c>
      <c r="CI334" t="str">
        <f t="shared" si="103"/>
        <v>Off</v>
      </c>
      <c r="CJ334" t="str">
        <f t="shared" si="103"/>
        <v>Off</v>
      </c>
      <c r="CK334" t="str">
        <f t="shared" si="103"/>
        <v>Off</v>
      </c>
      <c r="CL334" t="str">
        <f t="shared" si="103"/>
        <v>Off</v>
      </c>
      <c r="CM334" t="str">
        <f t="shared" si="103"/>
        <v>Off</v>
      </c>
      <c r="CN334" t="str">
        <f t="shared" si="103"/>
        <v>Off</v>
      </c>
      <c r="CO334" t="str">
        <f t="shared" si="103"/>
        <v>Off</v>
      </c>
      <c r="CP334" t="str">
        <f t="shared" si="103"/>
        <v>Off</v>
      </c>
      <c r="CQ334" t="str">
        <f t="shared" si="104"/>
        <v>Off</v>
      </c>
      <c r="CR334" t="str">
        <f t="shared" si="104"/>
        <v>Off</v>
      </c>
      <c r="CS334" t="str">
        <f t="shared" si="104"/>
        <v>Off</v>
      </c>
      <c r="CT334" t="str">
        <f t="shared" si="104"/>
        <v>Off</v>
      </c>
      <c r="CU334" t="str">
        <f t="shared" si="104"/>
        <v>Off</v>
      </c>
      <c r="CV334" t="str">
        <f t="shared" si="104"/>
        <v>Off</v>
      </c>
      <c r="CW334" t="str">
        <f t="shared" si="104"/>
        <v>Off</v>
      </c>
    </row>
    <row r="335" spans="1:101">
      <c r="A335" t="s">
        <v>6</v>
      </c>
      <c r="B335">
        <v>1</v>
      </c>
      <c r="C335">
        <v>2</v>
      </c>
      <c r="D335">
        <v>3</v>
      </c>
      <c r="E335">
        <v>2</v>
      </c>
      <c r="F335">
        <v>3</v>
      </c>
      <c r="G335">
        <v>3</v>
      </c>
      <c r="H335">
        <v>3</v>
      </c>
      <c r="I335">
        <v>2</v>
      </c>
      <c r="J335">
        <v>3</v>
      </c>
      <c r="K335">
        <v>3</v>
      </c>
      <c r="L335">
        <v>4</v>
      </c>
      <c r="M335">
        <v>3</v>
      </c>
      <c r="N335">
        <v>4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1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1</v>
      </c>
      <c r="AT335">
        <v>1</v>
      </c>
      <c r="AU335">
        <v>1</v>
      </c>
      <c r="AV335">
        <v>1</v>
      </c>
      <c r="AW335">
        <v>1</v>
      </c>
      <c r="AX335">
        <v>1</v>
      </c>
      <c r="AY335">
        <v>1</v>
      </c>
      <c r="AZ335">
        <v>1</v>
      </c>
      <c r="BA335">
        <v>1</v>
      </c>
      <c r="BB335">
        <v>1</v>
      </c>
      <c r="BC335">
        <v>1</v>
      </c>
      <c r="BD335">
        <v>1</v>
      </c>
      <c r="BE335">
        <v>1</v>
      </c>
      <c r="BF335">
        <v>1</v>
      </c>
      <c r="BG335">
        <v>1</v>
      </c>
      <c r="BH335">
        <v>1</v>
      </c>
      <c r="BI335">
        <v>1</v>
      </c>
      <c r="BJ335">
        <v>1</v>
      </c>
      <c r="BK335">
        <v>1</v>
      </c>
      <c r="BL335">
        <v>1</v>
      </c>
      <c r="BM335">
        <v>1</v>
      </c>
      <c r="BN335">
        <v>1</v>
      </c>
      <c r="BO335">
        <v>1</v>
      </c>
      <c r="BP335">
        <v>1</v>
      </c>
      <c r="BQ335">
        <v>1</v>
      </c>
      <c r="BR335">
        <v>1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>
        <v>1</v>
      </c>
      <c r="BZ335">
        <v>1</v>
      </c>
      <c r="CA335">
        <v>1</v>
      </c>
      <c r="CB335">
        <v>1</v>
      </c>
      <c r="CC335">
        <v>1</v>
      </c>
      <c r="CD335">
        <v>1</v>
      </c>
      <c r="CE335">
        <v>1</v>
      </c>
      <c r="CF335">
        <v>1</v>
      </c>
      <c r="CG335">
        <v>1</v>
      </c>
      <c r="CH335">
        <v>1</v>
      </c>
      <c r="CI335">
        <v>1</v>
      </c>
      <c r="CJ335">
        <v>1</v>
      </c>
      <c r="CK335">
        <v>1</v>
      </c>
      <c r="CL335">
        <v>1</v>
      </c>
      <c r="CM335">
        <v>1</v>
      </c>
      <c r="CN335">
        <v>1</v>
      </c>
      <c r="CO335">
        <v>1</v>
      </c>
      <c r="CP335">
        <v>1</v>
      </c>
      <c r="CQ335">
        <v>1</v>
      </c>
      <c r="CR335">
        <v>1</v>
      </c>
      <c r="CS335">
        <v>1</v>
      </c>
      <c r="CT335">
        <v>1</v>
      </c>
      <c r="CU335">
        <v>1</v>
      </c>
      <c r="CV335">
        <v>1</v>
      </c>
      <c r="CW335">
        <v>1</v>
      </c>
    </row>
    <row r="336" spans="1:101">
      <c r="A336" t="s">
        <v>1466</v>
      </c>
      <c r="B336" t="str">
        <f>"Off"</f>
        <v>Off</v>
      </c>
      <c r="C336" t="str">
        <f>"On"</f>
        <v>On</v>
      </c>
      <c r="D336" t="str">
        <f t="shared" ref="D336:M336" si="112">"Off"</f>
        <v>Off</v>
      </c>
      <c r="E336" t="str">
        <f t="shared" si="112"/>
        <v>Off</v>
      </c>
      <c r="F336" t="str">
        <f t="shared" si="112"/>
        <v>Off</v>
      </c>
      <c r="G336" t="str">
        <f t="shared" si="112"/>
        <v>Off</v>
      </c>
      <c r="H336" t="str">
        <f t="shared" si="112"/>
        <v>Off</v>
      </c>
      <c r="I336" t="str">
        <f t="shared" si="112"/>
        <v>Off</v>
      </c>
      <c r="J336" t="str">
        <f t="shared" si="112"/>
        <v>Off</v>
      </c>
      <c r="K336" t="str">
        <f t="shared" si="112"/>
        <v>Off</v>
      </c>
      <c r="L336" t="str">
        <f t="shared" si="112"/>
        <v>Off</v>
      </c>
      <c r="M336" t="str">
        <f t="shared" si="112"/>
        <v>Off</v>
      </c>
      <c r="N336" t="str">
        <f>"On"</f>
        <v>On</v>
      </c>
      <c r="O336" t="str">
        <f t="shared" ref="O336:X341" si="113">"Off"</f>
        <v>Off</v>
      </c>
      <c r="P336" t="str">
        <f t="shared" si="113"/>
        <v>Off</v>
      </c>
      <c r="Q336" t="str">
        <f t="shared" si="113"/>
        <v>Off</v>
      </c>
      <c r="R336" t="str">
        <f t="shared" si="113"/>
        <v>Off</v>
      </c>
      <c r="S336" t="str">
        <f t="shared" si="113"/>
        <v>Off</v>
      </c>
      <c r="T336" t="str">
        <f t="shared" si="113"/>
        <v>Off</v>
      </c>
      <c r="U336" t="str">
        <f t="shared" si="113"/>
        <v>Off</v>
      </c>
      <c r="V336" t="str">
        <f t="shared" si="113"/>
        <v>Off</v>
      </c>
      <c r="W336" t="str">
        <f t="shared" si="113"/>
        <v>Off</v>
      </c>
      <c r="X336" t="str">
        <f t="shared" si="113"/>
        <v>Off</v>
      </c>
      <c r="Y336" t="str">
        <f t="shared" ref="Y336:AH341" si="114">"Off"</f>
        <v>Off</v>
      </c>
      <c r="Z336" t="str">
        <f t="shared" si="114"/>
        <v>Off</v>
      </c>
      <c r="AA336" t="str">
        <f t="shared" si="114"/>
        <v>Off</v>
      </c>
      <c r="AB336" t="str">
        <f t="shared" si="114"/>
        <v>Off</v>
      </c>
      <c r="AC336" t="str">
        <f t="shared" si="114"/>
        <v>Off</v>
      </c>
      <c r="AD336" t="str">
        <f t="shared" si="114"/>
        <v>Off</v>
      </c>
      <c r="AE336" t="str">
        <f t="shared" si="114"/>
        <v>Off</v>
      </c>
      <c r="AF336" t="str">
        <f t="shared" si="114"/>
        <v>Off</v>
      </c>
      <c r="AG336" t="str">
        <f t="shared" si="114"/>
        <v>Off</v>
      </c>
      <c r="AH336" t="str">
        <f t="shared" si="114"/>
        <v>Off</v>
      </c>
      <c r="AI336" t="str">
        <f t="shared" ref="AI336:AR341" si="115">"Off"</f>
        <v>Off</v>
      </c>
      <c r="AJ336" t="str">
        <f t="shared" si="115"/>
        <v>Off</v>
      </c>
      <c r="AK336" t="str">
        <f t="shared" si="115"/>
        <v>Off</v>
      </c>
      <c r="AL336" t="str">
        <f t="shared" si="115"/>
        <v>Off</v>
      </c>
      <c r="AM336" t="str">
        <f t="shared" si="115"/>
        <v>Off</v>
      </c>
      <c r="AN336" t="str">
        <f t="shared" si="115"/>
        <v>Off</v>
      </c>
      <c r="AO336" t="str">
        <f t="shared" si="115"/>
        <v>Off</v>
      </c>
      <c r="AP336" t="str">
        <f t="shared" si="115"/>
        <v>Off</v>
      </c>
      <c r="AQ336" t="str">
        <f t="shared" si="115"/>
        <v>Off</v>
      </c>
      <c r="AR336" t="str">
        <f t="shared" si="115"/>
        <v>Off</v>
      </c>
      <c r="AS336" t="str">
        <f t="shared" ref="AS336:BB341" si="116">"Off"</f>
        <v>Off</v>
      </c>
      <c r="AT336" t="str">
        <f t="shared" si="116"/>
        <v>Off</v>
      </c>
      <c r="AU336" t="str">
        <f t="shared" si="116"/>
        <v>Off</v>
      </c>
      <c r="AV336" t="str">
        <f t="shared" si="116"/>
        <v>Off</v>
      </c>
      <c r="AW336" t="str">
        <f t="shared" si="116"/>
        <v>Off</v>
      </c>
      <c r="AX336" t="str">
        <f t="shared" si="116"/>
        <v>Off</v>
      </c>
      <c r="AY336" t="str">
        <f t="shared" si="116"/>
        <v>Off</v>
      </c>
      <c r="AZ336" t="str">
        <f t="shared" si="116"/>
        <v>Off</v>
      </c>
      <c r="BA336" t="str">
        <f t="shared" si="116"/>
        <v>Off</v>
      </c>
      <c r="BB336" t="str">
        <f t="shared" si="116"/>
        <v>Off</v>
      </c>
      <c r="BC336" t="str">
        <f t="shared" ref="BC336:BL341" si="117">"Off"</f>
        <v>Off</v>
      </c>
      <c r="BD336" t="str">
        <f t="shared" si="117"/>
        <v>Off</v>
      </c>
      <c r="BE336" t="str">
        <f t="shared" si="117"/>
        <v>Off</v>
      </c>
      <c r="BF336" t="str">
        <f t="shared" si="117"/>
        <v>Off</v>
      </c>
      <c r="BG336" t="str">
        <f t="shared" si="117"/>
        <v>Off</v>
      </c>
      <c r="BH336" t="str">
        <f t="shared" si="117"/>
        <v>Off</v>
      </c>
      <c r="BI336" t="str">
        <f t="shared" si="117"/>
        <v>Off</v>
      </c>
      <c r="BJ336" t="str">
        <f t="shared" si="117"/>
        <v>Off</v>
      </c>
      <c r="BK336" t="str">
        <f t="shared" si="117"/>
        <v>Off</v>
      </c>
      <c r="BL336" t="str">
        <f t="shared" si="117"/>
        <v>Off</v>
      </c>
      <c r="BM336" t="str">
        <f t="shared" ref="BM336:BV341" si="118">"Off"</f>
        <v>Off</v>
      </c>
      <c r="BN336" t="str">
        <f t="shared" si="118"/>
        <v>Off</v>
      </c>
      <c r="BO336" t="str">
        <f t="shared" si="118"/>
        <v>Off</v>
      </c>
      <c r="BP336" t="str">
        <f t="shared" si="118"/>
        <v>Off</v>
      </c>
      <c r="BQ336" t="str">
        <f t="shared" si="118"/>
        <v>Off</v>
      </c>
      <c r="BR336" t="str">
        <f t="shared" si="118"/>
        <v>Off</v>
      </c>
      <c r="BS336" t="str">
        <f t="shared" si="118"/>
        <v>Off</v>
      </c>
      <c r="BT336" t="str">
        <f t="shared" si="118"/>
        <v>Off</v>
      </c>
      <c r="BU336" t="str">
        <f t="shared" si="118"/>
        <v>Off</v>
      </c>
      <c r="BV336" t="str">
        <f t="shared" si="118"/>
        <v>Off</v>
      </c>
      <c r="BW336" t="str">
        <f t="shared" ref="BW336:CF341" si="119">"Off"</f>
        <v>Off</v>
      </c>
      <c r="BX336" t="str">
        <f t="shared" si="119"/>
        <v>Off</v>
      </c>
      <c r="BY336" t="str">
        <f t="shared" si="119"/>
        <v>Off</v>
      </c>
      <c r="BZ336" t="str">
        <f t="shared" si="119"/>
        <v>Off</v>
      </c>
      <c r="CA336" t="str">
        <f t="shared" si="119"/>
        <v>Off</v>
      </c>
      <c r="CB336" t="str">
        <f t="shared" si="119"/>
        <v>Off</v>
      </c>
      <c r="CC336" t="str">
        <f t="shared" si="119"/>
        <v>Off</v>
      </c>
      <c r="CD336" t="str">
        <f t="shared" si="119"/>
        <v>Off</v>
      </c>
      <c r="CE336" t="str">
        <f t="shared" si="119"/>
        <v>Off</v>
      </c>
      <c r="CF336" t="str">
        <f t="shared" si="119"/>
        <v>Off</v>
      </c>
      <c r="CG336" t="str">
        <f t="shared" ref="CG336:CP341" si="120">"Off"</f>
        <v>Off</v>
      </c>
      <c r="CH336" t="str">
        <f t="shared" si="120"/>
        <v>Off</v>
      </c>
      <c r="CI336" t="str">
        <f t="shared" si="120"/>
        <v>Off</v>
      </c>
      <c r="CJ336" t="str">
        <f t="shared" si="120"/>
        <v>Off</v>
      </c>
      <c r="CK336" t="str">
        <f t="shared" si="120"/>
        <v>Off</v>
      </c>
      <c r="CL336" t="str">
        <f t="shared" si="120"/>
        <v>Off</v>
      </c>
      <c r="CM336" t="str">
        <f t="shared" si="120"/>
        <v>Off</v>
      </c>
      <c r="CN336" t="str">
        <f t="shared" si="120"/>
        <v>Off</v>
      </c>
      <c r="CO336" t="str">
        <f t="shared" si="120"/>
        <v>Off</v>
      </c>
      <c r="CP336" t="str">
        <f t="shared" si="120"/>
        <v>Off</v>
      </c>
      <c r="CQ336" t="str">
        <f t="shared" ref="CQ336:CW341" si="121">"Off"</f>
        <v>Off</v>
      </c>
      <c r="CR336" t="str">
        <f t="shared" si="121"/>
        <v>Off</v>
      </c>
      <c r="CS336" t="str">
        <f t="shared" si="121"/>
        <v>Off</v>
      </c>
      <c r="CT336" t="str">
        <f t="shared" si="121"/>
        <v>Off</v>
      </c>
      <c r="CU336" t="str">
        <f t="shared" si="121"/>
        <v>Off</v>
      </c>
      <c r="CV336" t="str">
        <f t="shared" si="121"/>
        <v>Off</v>
      </c>
      <c r="CW336" t="str">
        <f t="shared" si="121"/>
        <v>Off</v>
      </c>
    </row>
    <row r="337" spans="1:101">
      <c r="A337" t="s">
        <v>1467</v>
      </c>
      <c r="B337" t="str">
        <f>"On"</f>
        <v>On</v>
      </c>
      <c r="C337" t="str">
        <f>"On"</f>
        <v>On</v>
      </c>
      <c r="D337" t="str">
        <f>"On"</f>
        <v>On</v>
      </c>
      <c r="E337" t="str">
        <f t="shared" ref="E337:I339" si="122">"Off"</f>
        <v>Off</v>
      </c>
      <c r="F337" t="str">
        <f t="shared" si="122"/>
        <v>Off</v>
      </c>
      <c r="G337" t="str">
        <f t="shared" si="122"/>
        <v>Off</v>
      </c>
      <c r="H337" t="str">
        <f t="shared" si="122"/>
        <v>Off</v>
      </c>
      <c r="I337" t="str">
        <f t="shared" si="122"/>
        <v>Off</v>
      </c>
      <c r="J337" t="str">
        <f>"On"</f>
        <v>On</v>
      </c>
      <c r="K337" t="str">
        <f>"Off"</f>
        <v>Off</v>
      </c>
      <c r="L337" t="str">
        <f>"Off"</f>
        <v>Off</v>
      </c>
      <c r="M337" t="str">
        <f>"Off"</f>
        <v>Off</v>
      </c>
      <c r="N337" t="str">
        <f>"Off"</f>
        <v>Off</v>
      </c>
      <c r="O337" t="str">
        <f t="shared" si="113"/>
        <v>Off</v>
      </c>
      <c r="P337" t="str">
        <f t="shared" si="113"/>
        <v>Off</v>
      </c>
      <c r="Q337" t="str">
        <f t="shared" si="113"/>
        <v>Off</v>
      </c>
      <c r="R337" t="str">
        <f t="shared" si="113"/>
        <v>Off</v>
      </c>
      <c r="S337" t="str">
        <f t="shared" si="113"/>
        <v>Off</v>
      </c>
      <c r="T337" t="str">
        <f t="shared" si="113"/>
        <v>Off</v>
      </c>
      <c r="U337" t="str">
        <f t="shared" si="113"/>
        <v>Off</v>
      </c>
      <c r="V337" t="str">
        <f t="shared" si="113"/>
        <v>Off</v>
      </c>
      <c r="W337" t="str">
        <f t="shared" si="113"/>
        <v>Off</v>
      </c>
      <c r="X337" t="str">
        <f t="shared" si="113"/>
        <v>Off</v>
      </c>
      <c r="Y337" t="str">
        <f t="shared" si="114"/>
        <v>Off</v>
      </c>
      <c r="Z337" t="str">
        <f t="shared" si="114"/>
        <v>Off</v>
      </c>
      <c r="AA337" t="str">
        <f t="shared" si="114"/>
        <v>Off</v>
      </c>
      <c r="AB337" t="str">
        <f t="shared" si="114"/>
        <v>Off</v>
      </c>
      <c r="AC337" t="str">
        <f t="shared" si="114"/>
        <v>Off</v>
      </c>
      <c r="AD337" t="str">
        <f t="shared" si="114"/>
        <v>Off</v>
      </c>
      <c r="AE337" t="str">
        <f t="shared" si="114"/>
        <v>Off</v>
      </c>
      <c r="AF337" t="str">
        <f t="shared" si="114"/>
        <v>Off</v>
      </c>
      <c r="AG337" t="str">
        <f t="shared" si="114"/>
        <v>Off</v>
      </c>
      <c r="AH337" t="str">
        <f t="shared" si="114"/>
        <v>Off</v>
      </c>
      <c r="AI337" t="str">
        <f t="shared" si="115"/>
        <v>Off</v>
      </c>
      <c r="AJ337" t="str">
        <f t="shared" si="115"/>
        <v>Off</v>
      </c>
      <c r="AK337" t="str">
        <f t="shared" si="115"/>
        <v>Off</v>
      </c>
      <c r="AL337" t="str">
        <f t="shared" si="115"/>
        <v>Off</v>
      </c>
      <c r="AM337" t="str">
        <f t="shared" si="115"/>
        <v>Off</v>
      </c>
      <c r="AN337" t="str">
        <f t="shared" si="115"/>
        <v>Off</v>
      </c>
      <c r="AO337" t="str">
        <f t="shared" si="115"/>
        <v>Off</v>
      </c>
      <c r="AP337" t="str">
        <f t="shared" si="115"/>
        <v>Off</v>
      </c>
      <c r="AQ337" t="str">
        <f t="shared" si="115"/>
        <v>Off</v>
      </c>
      <c r="AR337" t="str">
        <f t="shared" si="115"/>
        <v>Off</v>
      </c>
      <c r="AS337" t="str">
        <f t="shared" si="116"/>
        <v>Off</v>
      </c>
      <c r="AT337" t="str">
        <f t="shared" si="116"/>
        <v>Off</v>
      </c>
      <c r="AU337" t="str">
        <f t="shared" si="116"/>
        <v>Off</v>
      </c>
      <c r="AV337" t="str">
        <f t="shared" si="116"/>
        <v>Off</v>
      </c>
      <c r="AW337" t="str">
        <f t="shared" si="116"/>
        <v>Off</v>
      </c>
      <c r="AX337" t="str">
        <f t="shared" si="116"/>
        <v>Off</v>
      </c>
      <c r="AY337" t="str">
        <f t="shared" si="116"/>
        <v>Off</v>
      </c>
      <c r="AZ337" t="str">
        <f t="shared" si="116"/>
        <v>Off</v>
      </c>
      <c r="BA337" t="str">
        <f t="shared" si="116"/>
        <v>Off</v>
      </c>
      <c r="BB337" t="str">
        <f t="shared" si="116"/>
        <v>Off</v>
      </c>
      <c r="BC337" t="str">
        <f t="shared" si="117"/>
        <v>Off</v>
      </c>
      <c r="BD337" t="str">
        <f t="shared" si="117"/>
        <v>Off</v>
      </c>
      <c r="BE337" t="str">
        <f t="shared" si="117"/>
        <v>Off</v>
      </c>
      <c r="BF337" t="str">
        <f t="shared" si="117"/>
        <v>Off</v>
      </c>
      <c r="BG337" t="str">
        <f t="shared" si="117"/>
        <v>Off</v>
      </c>
      <c r="BH337" t="str">
        <f t="shared" si="117"/>
        <v>Off</v>
      </c>
      <c r="BI337" t="str">
        <f t="shared" si="117"/>
        <v>Off</v>
      </c>
      <c r="BJ337" t="str">
        <f t="shared" si="117"/>
        <v>Off</v>
      </c>
      <c r="BK337" t="str">
        <f t="shared" si="117"/>
        <v>Off</v>
      </c>
      <c r="BL337" t="str">
        <f t="shared" si="117"/>
        <v>Off</v>
      </c>
      <c r="BM337" t="str">
        <f t="shared" si="118"/>
        <v>Off</v>
      </c>
      <c r="BN337" t="str">
        <f t="shared" si="118"/>
        <v>Off</v>
      </c>
      <c r="BO337" t="str">
        <f t="shared" si="118"/>
        <v>Off</v>
      </c>
      <c r="BP337" t="str">
        <f t="shared" si="118"/>
        <v>Off</v>
      </c>
      <c r="BQ337" t="str">
        <f t="shared" si="118"/>
        <v>Off</v>
      </c>
      <c r="BR337" t="str">
        <f t="shared" si="118"/>
        <v>Off</v>
      </c>
      <c r="BS337" t="str">
        <f t="shared" si="118"/>
        <v>Off</v>
      </c>
      <c r="BT337" t="str">
        <f t="shared" si="118"/>
        <v>Off</v>
      </c>
      <c r="BU337" t="str">
        <f t="shared" si="118"/>
        <v>Off</v>
      </c>
      <c r="BV337" t="str">
        <f t="shared" si="118"/>
        <v>Off</v>
      </c>
      <c r="BW337" t="str">
        <f t="shared" si="119"/>
        <v>Off</v>
      </c>
      <c r="BX337" t="str">
        <f t="shared" si="119"/>
        <v>Off</v>
      </c>
      <c r="BY337" t="str">
        <f t="shared" si="119"/>
        <v>Off</v>
      </c>
      <c r="BZ337" t="str">
        <f t="shared" si="119"/>
        <v>Off</v>
      </c>
      <c r="CA337" t="str">
        <f t="shared" si="119"/>
        <v>Off</v>
      </c>
      <c r="CB337" t="str">
        <f t="shared" si="119"/>
        <v>Off</v>
      </c>
      <c r="CC337" t="str">
        <f t="shared" si="119"/>
        <v>Off</v>
      </c>
      <c r="CD337" t="str">
        <f t="shared" si="119"/>
        <v>Off</v>
      </c>
      <c r="CE337" t="str">
        <f t="shared" si="119"/>
        <v>Off</v>
      </c>
      <c r="CF337" t="str">
        <f t="shared" si="119"/>
        <v>Off</v>
      </c>
      <c r="CG337" t="str">
        <f t="shared" si="120"/>
        <v>Off</v>
      </c>
      <c r="CH337" t="str">
        <f t="shared" si="120"/>
        <v>Off</v>
      </c>
      <c r="CI337" t="str">
        <f t="shared" si="120"/>
        <v>Off</v>
      </c>
      <c r="CJ337" t="str">
        <f t="shared" si="120"/>
        <v>Off</v>
      </c>
      <c r="CK337" t="str">
        <f t="shared" si="120"/>
        <v>Off</v>
      </c>
      <c r="CL337" t="str">
        <f t="shared" si="120"/>
        <v>Off</v>
      </c>
      <c r="CM337" t="str">
        <f t="shared" si="120"/>
        <v>Off</v>
      </c>
      <c r="CN337" t="str">
        <f t="shared" si="120"/>
        <v>Off</v>
      </c>
      <c r="CO337" t="str">
        <f t="shared" si="120"/>
        <v>Off</v>
      </c>
      <c r="CP337" t="str">
        <f t="shared" si="120"/>
        <v>Off</v>
      </c>
      <c r="CQ337" t="str">
        <f t="shared" si="121"/>
        <v>Off</v>
      </c>
      <c r="CR337" t="str">
        <f t="shared" si="121"/>
        <v>Off</v>
      </c>
      <c r="CS337" t="str">
        <f t="shared" si="121"/>
        <v>Off</v>
      </c>
      <c r="CT337" t="str">
        <f t="shared" si="121"/>
        <v>Off</v>
      </c>
      <c r="CU337" t="str">
        <f t="shared" si="121"/>
        <v>Off</v>
      </c>
      <c r="CV337" t="str">
        <f t="shared" si="121"/>
        <v>Off</v>
      </c>
      <c r="CW337" t="str">
        <f t="shared" si="121"/>
        <v>Off</v>
      </c>
    </row>
    <row r="338" spans="1:101">
      <c r="A338" t="s">
        <v>1468</v>
      </c>
      <c r="B338" t="str">
        <f>"Off"</f>
        <v>Off</v>
      </c>
      <c r="C338" t="str">
        <f>"Off"</f>
        <v>Off</v>
      </c>
      <c r="D338" t="str">
        <f>"On"</f>
        <v>On</v>
      </c>
      <c r="E338" t="str">
        <f t="shared" si="122"/>
        <v>Off</v>
      </c>
      <c r="F338" t="str">
        <f t="shared" si="122"/>
        <v>Off</v>
      </c>
      <c r="G338" t="str">
        <f t="shared" si="122"/>
        <v>Off</v>
      </c>
      <c r="H338" t="str">
        <f t="shared" si="122"/>
        <v>Off</v>
      </c>
      <c r="I338" t="str">
        <f t="shared" si="122"/>
        <v>Off</v>
      </c>
      <c r="J338" t="str">
        <f>"Off"</f>
        <v>Off</v>
      </c>
      <c r="K338" t="str">
        <f>"Off"</f>
        <v>Off</v>
      </c>
      <c r="L338" t="str">
        <f>"Off"</f>
        <v>Off</v>
      </c>
      <c r="M338" t="str">
        <f>"Off"</f>
        <v>Off</v>
      </c>
      <c r="N338" t="str">
        <f>"On"</f>
        <v>On</v>
      </c>
      <c r="O338" t="str">
        <f t="shared" si="113"/>
        <v>Off</v>
      </c>
      <c r="P338" t="str">
        <f t="shared" si="113"/>
        <v>Off</v>
      </c>
      <c r="Q338" t="str">
        <f t="shared" si="113"/>
        <v>Off</v>
      </c>
      <c r="R338" t="str">
        <f t="shared" si="113"/>
        <v>Off</v>
      </c>
      <c r="S338" t="str">
        <f t="shared" si="113"/>
        <v>Off</v>
      </c>
      <c r="T338" t="str">
        <f t="shared" si="113"/>
        <v>Off</v>
      </c>
      <c r="U338" t="str">
        <f t="shared" si="113"/>
        <v>Off</v>
      </c>
      <c r="V338" t="str">
        <f t="shared" si="113"/>
        <v>Off</v>
      </c>
      <c r="W338" t="str">
        <f t="shared" si="113"/>
        <v>Off</v>
      </c>
      <c r="X338" t="str">
        <f t="shared" si="113"/>
        <v>Off</v>
      </c>
      <c r="Y338" t="str">
        <f t="shared" si="114"/>
        <v>Off</v>
      </c>
      <c r="Z338" t="str">
        <f t="shared" si="114"/>
        <v>Off</v>
      </c>
      <c r="AA338" t="str">
        <f t="shared" si="114"/>
        <v>Off</v>
      </c>
      <c r="AB338" t="str">
        <f t="shared" si="114"/>
        <v>Off</v>
      </c>
      <c r="AC338" t="str">
        <f t="shared" si="114"/>
        <v>Off</v>
      </c>
      <c r="AD338" t="str">
        <f t="shared" si="114"/>
        <v>Off</v>
      </c>
      <c r="AE338" t="str">
        <f t="shared" si="114"/>
        <v>Off</v>
      </c>
      <c r="AF338" t="str">
        <f t="shared" si="114"/>
        <v>Off</v>
      </c>
      <c r="AG338" t="str">
        <f t="shared" si="114"/>
        <v>Off</v>
      </c>
      <c r="AH338" t="str">
        <f t="shared" si="114"/>
        <v>Off</v>
      </c>
      <c r="AI338" t="str">
        <f t="shared" si="115"/>
        <v>Off</v>
      </c>
      <c r="AJ338" t="str">
        <f t="shared" si="115"/>
        <v>Off</v>
      </c>
      <c r="AK338" t="str">
        <f t="shared" si="115"/>
        <v>Off</v>
      </c>
      <c r="AL338" t="str">
        <f t="shared" si="115"/>
        <v>Off</v>
      </c>
      <c r="AM338" t="str">
        <f t="shared" si="115"/>
        <v>Off</v>
      </c>
      <c r="AN338" t="str">
        <f t="shared" si="115"/>
        <v>Off</v>
      </c>
      <c r="AO338" t="str">
        <f t="shared" si="115"/>
        <v>Off</v>
      </c>
      <c r="AP338" t="str">
        <f t="shared" si="115"/>
        <v>Off</v>
      </c>
      <c r="AQ338" t="str">
        <f t="shared" si="115"/>
        <v>Off</v>
      </c>
      <c r="AR338" t="str">
        <f t="shared" si="115"/>
        <v>Off</v>
      </c>
      <c r="AS338" t="str">
        <f t="shared" si="116"/>
        <v>Off</v>
      </c>
      <c r="AT338" t="str">
        <f t="shared" si="116"/>
        <v>Off</v>
      </c>
      <c r="AU338" t="str">
        <f t="shared" si="116"/>
        <v>Off</v>
      </c>
      <c r="AV338" t="str">
        <f t="shared" si="116"/>
        <v>Off</v>
      </c>
      <c r="AW338" t="str">
        <f t="shared" si="116"/>
        <v>Off</v>
      </c>
      <c r="AX338" t="str">
        <f t="shared" si="116"/>
        <v>Off</v>
      </c>
      <c r="AY338" t="str">
        <f t="shared" si="116"/>
        <v>Off</v>
      </c>
      <c r="AZ338" t="str">
        <f t="shared" si="116"/>
        <v>Off</v>
      </c>
      <c r="BA338" t="str">
        <f t="shared" si="116"/>
        <v>Off</v>
      </c>
      <c r="BB338" t="str">
        <f t="shared" si="116"/>
        <v>Off</v>
      </c>
      <c r="BC338" t="str">
        <f t="shared" si="117"/>
        <v>Off</v>
      </c>
      <c r="BD338" t="str">
        <f t="shared" si="117"/>
        <v>Off</v>
      </c>
      <c r="BE338" t="str">
        <f t="shared" si="117"/>
        <v>Off</v>
      </c>
      <c r="BF338" t="str">
        <f t="shared" si="117"/>
        <v>Off</v>
      </c>
      <c r="BG338" t="str">
        <f t="shared" si="117"/>
        <v>Off</v>
      </c>
      <c r="BH338" t="str">
        <f t="shared" si="117"/>
        <v>Off</v>
      </c>
      <c r="BI338" t="str">
        <f t="shared" si="117"/>
        <v>Off</v>
      </c>
      <c r="BJ338" t="str">
        <f t="shared" si="117"/>
        <v>Off</v>
      </c>
      <c r="BK338" t="str">
        <f t="shared" si="117"/>
        <v>Off</v>
      </c>
      <c r="BL338" t="str">
        <f t="shared" si="117"/>
        <v>Off</v>
      </c>
      <c r="BM338" t="str">
        <f t="shared" si="118"/>
        <v>Off</v>
      </c>
      <c r="BN338" t="str">
        <f t="shared" si="118"/>
        <v>Off</v>
      </c>
      <c r="BO338" t="str">
        <f t="shared" si="118"/>
        <v>Off</v>
      </c>
      <c r="BP338" t="str">
        <f t="shared" si="118"/>
        <v>Off</v>
      </c>
      <c r="BQ338" t="str">
        <f t="shared" si="118"/>
        <v>Off</v>
      </c>
      <c r="BR338" t="str">
        <f t="shared" si="118"/>
        <v>Off</v>
      </c>
      <c r="BS338" t="str">
        <f t="shared" si="118"/>
        <v>Off</v>
      </c>
      <c r="BT338" t="str">
        <f t="shared" si="118"/>
        <v>Off</v>
      </c>
      <c r="BU338" t="str">
        <f t="shared" si="118"/>
        <v>Off</v>
      </c>
      <c r="BV338" t="str">
        <f t="shared" si="118"/>
        <v>Off</v>
      </c>
      <c r="BW338" t="str">
        <f t="shared" si="119"/>
        <v>Off</v>
      </c>
      <c r="BX338" t="str">
        <f t="shared" si="119"/>
        <v>Off</v>
      </c>
      <c r="BY338" t="str">
        <f t="shared" si="119"/>
        <v>Off</v>
      </c>
      <c r="BZ338" t="str">
        <f t="shared" si="119"/>
        <v>Off</v>
      </c>
      <c r="CA338" t="str">
        <f t="shared" si="119"/>
        <v>Off</v>
      </c>
      <c r="CB338" t="str">
        <f t="shared" si="119"/>
        <v>Off</v>
      </c>
      <c r="CC338" t="str">
        <f t="shared" si="119"/>
        <v>Off</v>
      </c>
      <c r="CD338" t="str">
        <f t="shared" si="119"/>
        <v>Off</v>
      </c>
      <c r="CE338" t="str">
        <f t="shared" si="119"/>
        <v>Off</v>
      </c>
      <c r="CF338" t="str">
        <f t="shared" si="119"/>
        <v>Off</v>
      </c>
      <c r="CG338" t="str">
        <f t="shared" si="120"/>
        <v>Off</v>
      </c>
      <c r="CH338" t="str">
        <f t="shared" si="120"/>
        <v>Off</v>
      </c>
      <c r="CI338" t="str">
        <f t="shared" si="120"/>
        <v>Off</v>
      </c>
      <c r="CJ338" t="str">
        <f t="shared" si="120"/>
        <v>Off</v>
      </c>
      <c r="CK338" t="str">
        <f t="shared" si="120"/>
        <v>Off</v>
      </c>
      <c r="CL338" t="str">
        <f t="shared" si="120"/>
        <v>Off</v>
      </c>
      <c r="CM338" t="str">
        <f t="shared" si="120"/>
        <v>Off</v>
      </c>
      <c r="CN338" t="str">
        <f t="shared" si="120"/>
        <v>Off</v>
      </c>
      <c r="CO338" t="str">
        <f t="shared" si="120"/>
        <v>Off</v>
      </c>
      <c r="CP338" t="str">
        <f t="shared" si="120"/>
        <v>Off</v>
      </c>
      <c r="CQ338" t="str">
        <f t="shared" si="121"/>
        <v>Off</v>
      </c>
      <c r="CR338" t="str">
        <f t="shared" si="121"/>
        <v>Off</v>
      </c>
      <c r="CS338" t="str">
        <f t="shared" si="121"/>
        <v>Off</v>
      </c>
      <c r="CT338" t="str">
        <f t="shared" si="121"/>
        <v>Off</v>
      </c>
      <c r="CU338" t="str">
        <f t="shared" si="121"/>
        <v>Off</v>
      </c>
      <c r="CV338" t="str">
        <f t="shared" si="121"/>
        <v>Off</v>
      </c>
      <c r="CW338" t="str">
        <f t="shared" si="121"/>
        <v>Off</v>
      </c>
    </row>
    <row r="339" spans="1:101">
      <c r="A339" t="s">
        <v>1469</v>
      </c>
      <c r="B339" t="str">
        <f>"On"</f>
        <v>On</v>
      </c>
      <c r="C339" t="str">
        <f t="shared" ref="C339:D341" si="123">"Off"</f>
        <v>Off</v>
      </c>
      <c r="D339" t="str">
        <f t="shared" si="123"/>
        <v>Off</v>
      </c>
      <c r="E339" t="str">
        <f t="shared" si="122"/>
        <v>Off</v>
      </c>
      <c r="F339" t="str">
        <f t="shared" si="122"/>
        <v>Off</v>
      </c>
      <c r="G339" t="str">
        <f t="shared" si="122"/>
        <v>Off</v>
      </c>
      <c r="H339" t="str">
        <f t="shared" si="122"/>
        <v>Off</v>
      </c>
      <c r="I339" t="str">
        <f t="shared" si="122"/>
        <v>Off</v>
      </c>
      <c r="J339" t="str">
        <f t="shared" ref="J339:K341" si="124">"Off"</f>
        <v>Off</v>
      </c>
      <c r="K339" t="str">
        <f t="shared" si="124"/>
        <v>Off</v>
      </c>
      <c r="L339" t="str">
        <f>"On"</f>
        <v>On</v>
      </c>
      <c r="M339" t="str">
        <f>"Off"</f>
        <v>Off</v>
      </c>
      <c r="N339" t="str">
        <f>"On"</f>
        <v>On</v>
      </c>
      <c r="O339" t="str">
        <f t="shared" si="113"/>
        <v>Off</v>
      </c>
      <c r="P339" t="str">
        <f t="shared" si="113"/>
        <v>Off</v>
      </c>
      <c r="Q339" t="str">
        <f t="shared" si="113"/>
        <v>Off</v>
      </c>
      <c r="R339" t="str">
        <f t="shared" si="113"/>
        <v>Off</v>
      </c>
      <c r="S339" t="str">
        <f t="shared" si="113"/>
        <v>Off</v>
      </c>
      <c r="T339" t="str">
        <f t="shared" si="113"/>
        <v>Off</v>
      </c>
      <c r="U339" t="str">
        <f t="shared" si="113"/>
        <v>Off</v>
      </c>
      <c r="V339" t="str">
        <f t="shared" si="113"/>
        <v>Off</v>
      </c>
      <c r="W339" t="str">
        <f t="shared" si="113"/>
        <v>Off</v>
      </c>
      <c r="X339" t="str">
        <f t="shared" si="113"/>
        <v>Off</v>
      </c>
      <c r="Y339" t="str">
        <f t="shared" si="114"/>
        <v>Off</v>
      </c>
      <c r="Z339" t="str">
        <f t="shared" si="114"/>
        <v>Off</v>
      </c>
      <c r="AA339" t="str">
        <f t="shared" si="114"/>
        <v>Off</v>
      </c>
      <c r="AB339" t="str">
        <f t="shared" si="114"/>
        <v>Off</v>
      </c>
      <c r="AC339" t="str">
        <f t="shared" si="114"/>
        <v>Off</v>
      </c>
      <c r="AD339" t="str">
        <f t="shared" si="114"/>
        <v>Off</v>
      </c>
      <c r="AE339" t="str">
        <f t="shared" si="114"/>
        <v>Off</v>
      </c>
      <c r="AF339" t="str">
        <f t="shared" si="114"/>
        <v>Off</v>
      </c>
      <c r="AG339" t="str">
        <f t="shared" si="114"/>
        <v>Off</v>
      </c>
      <c r="AH339" t="str">
        <f t="shared" si="114"/>
        <v>Off</v>
      </c>
      <c r="AI339" t="str">
        <f t="shared" si="115"/>
        <v>Off</v>
      </c>
      <c r="AJ339" t="str">
        <f t="shared" si="115"/>
        <v>Off</v>
      </c>
      <c r="AK339" t="str">
        <f t="shared" si="115"/>
        <v>Off</v>
      </c>
      <c r="AL339" t="str">
        <f t="shared" si="115"/>
        <v>Off</v>
      </c>
      <c r="AM339" t="str">
        <f t="shared" si="115"/>
        <v>Off</v>
      </c>
      <c r="AN339" t="str">
        <f t="shared" si="115"/>
        <v>Off</v>
      </c>
      <c r="AO339" t="str">
        <f t="shared" si="115"/>
        <v>Off</v>
      </c>
      <c r="AP339" t="str">
        <f t="shared" si="115"/>
        <v>Off</v>
      </c>
      <c r="AQ339" t="str">
        <f t="shared" si="115"/>
        <v>Off</v>
      </c>
      <c r="AR339" t="str">
        <f t="shared" si="115"/>
        <v>Off</v>
      </c>
      <c r="AS339" t="str">
        <f t="shared" si="116"/>
        <v>Off</v>
      </c>
      <c r="AT339" t="str">
        <f t="shared" si="116"/>
        <v>Off</v>
      </c>
      <c r="AU339" t="str">
        <f t="shared" si="116"/>
        <v>Off</v>
      </c>
      <c r="AV339" t="str">
        <f t="shared" si="116"/>
        <v>Off</v>
      </c>
      <c r="AW339" t="str">
        <f t="shared" si="116"/>
        <v>Off</v>
      </c>
      <c r="AX339" t="str">
        <f t="shared" si="116"/>
        <v>Off</v>
      </c>
      <c r="AY339" t="str">
        <f t="shared" si="116"/>
        <v>Off</v>
      </c>
      <c r="AZ339" t="str">
        <f t="shared" si="116"/>
        <v>Off</v>
      </c>
      <c r="BA339" t="str">
        <f t="shared" si="116"/>
        <v>Off</v>
      </c>
      <c r="BB339" t="str">
        <f t="shared" si="116"/>
        <v>Off</v>
      </c>
      <c r="BC339" t="str">
        <f t="shared" si="117"/>
        <v>Off</v>
      </c>
      <c r="BD339" t="str">
        <f t="shared" si="117"/>
        <v>Off</v>
      </c>
      <c r="BE339" t="str">
        <f t="shared" si="117"/>
        <v>Off</v>
      </c>
      <c r="BF339" t="str">
        <f t="shared" si="117"/>
        <v>Off</v>
      </c>
      <c r="BG339" t="str">
        <f t="shared" si="117"/>
        <v>Off</v>
      </c>
      <c r="BH339" t="str">
        <f t="shared" si="117"/>
        <v>Off</v>
      </c>
      <c r="BI339" t="str">
        <f t="shared" si="117"/>
        <v>Off</v>
      </c>
      <c r="BJ339" t="str">
        <f t="shared" si="117"/>
        <v>Off</v>
      </c>
      <c r="BK339" t="str">
        <f t="shared" si="117"/>
        <v>Off</v>
      </c>
      <c r="BL339" t="str">
        <f t="shared" si="117"/>
        <v>Off</v>
      </c>
      <c r="BM339" t="str">
        <f t="shared" si="118"/>
        <v>Off</v>
      </c>
      <c r="BN339" t="str">
        <f t="shared" si="118"/>
        <v>Off</v>
      </c>
      <c r="BO339" t="str">
        <f t="shared" si="118"/>
        <v>Off</v>
      </c>
      <c r="BP339" t="str">
        <f t="shared" si="118"/>
        <v>Off</v>
      </c>
      <c r="BQ339" t="str">
        <f t="shared" si="118"/>
        <v>Off</v>
      </c>
      <c r="BR339" t="str">
        <f t="shared" si="118"/>
        <v>Off</v>
      </c>
      <c r="BS339" t="str">
        <f t="shared" si="118"/>
        <v>Off</v>
      </c>
      <c r="BT339" t="str">
        <f t="shared" si="118"/>
        <v>Off</v>
      </c>
      <c r="BU339" t="str">
        <f t="shared" si="118"/>
        <v>Off</v>
      </c>
      <c r="BV339" t="str">
        <f t="shared" si="118"/>
        <v>Off</v>
      </c>
      <c r="BW339" t="str">
        <f t="shared" si="119"/>
        <v>Off</v>
      </c>
      <c r="BX339" t="str">
        <f t="shared" si="119"/>
        <v>Off</v>
      </c>
      <c r="BY339" t="str">
        <f t="shared" si="119"/>
        <v>Off</v>
      </c>
      <c r="BZ339" t="str">
        <f t="shared" si="119"/>
        <v>Off</v>
      </c>
      <c r="CA339" t="str">
        <f t="shared" si="119"/>
        <v>Off</v>
      </c>
      <c r="CB339" t="str">
        <f t="shared" si="119"/>
        <v>Off</v>
      </c>
      <c r="CC339" t="str">
        <f t="shared" si="119"/>
        <v>Off</v>
      </c>
      <c r="CD339" t="str">
        <f t="shared" si="119"/>
        <v>Off</v>
      </c>
      <c r="CE339" t="str">
        <f t="shared" si="119"/>
        <v>Off</v>
      </c>
      <c r="CF339" t="str">
        <f t="shared" si="119"/>
        <v>Off</v>
      </c>
      <c r="CG339" t="str">
        <f t="shared" si="120"/>
        <v>Off</v>
      </c>
      <c r="CH339" t="str">
        <f t="shared" si="120"/>
        <v>Off</v>
      </c>
      <c r="CI339" t="str">
        <f t="shared" si="120"/>
        <v>Off</v>
      </c>
      <c r="CJ339" t="str">
        <f t="shared" si="120"/>
        <v>Off</v>
      </c>
      <c r="CK339" t="str">
        <f t="shared" si="120"/>
        <v>Off</v>
      </c>
      <c r="CL339" t="str">
        <f t="shared" si="120"/>
        <v>Off</v>
      </c>
      <c r="CM339" t="str">
        <f t="shared" si="120"/>
        <v>Off</v>
      </c>
      <c r="CN339" t="str">
        <f t="shared" si="120"/>
        <v>Off</v>
      </c>
      <c r="CO339" t="str">
        <f t="shared" si="120"/>
        <v>Off</v>
      </c>
      <c r="CP339" t="str">
        <f t="shared" si="120"/>
        <v>Off</v>
      </c>
      <c r="CQ339" t="str">
        <f t="shared" si="121"/>
        <v>Off</v>
      </c>
      <c r="CR339" t="str">
        <f t="shared" si="121"/>
        <v>Off</v>
      </c>
      <c r="CS339" t="str">
        <f t="shared" si="121"/>
        <v>Off</v>
      </c>
      <c r="CT339" t="str">
        <f t="shared" si="121"/>
        <v>Off</v>
      </c>
      <c r="CU339" t="str">
        <f t="shared" si="121"/>
        <v>Off</v>
      </c>
      <c r="CV339" t="str">
        <f t="shared" si="121"/>
        <v>Off</v>
      </c>
      <c r="CW339" t="str">
        <f t="shared" si="121"/>
        <v>Off</v>
      </c>
    </row>
    <row r="340" spans="1:101">
      <c r="A340" t="s">
        <v>1470</v>
      </c>
      <c r="B340" t="str">
        <f>"On"</f>
        <v>On</v>
      </c>
      <c r="C340" t="str">
        <f t="shared" si="123"/>
        <v>Off</v>
      </c>
      <c r="D340" t="str">
        <f t="shared" si="123"/>
        <v>Off</v>
      </c>
      <c r="E340" t="str">
        <f>"On"</f>
        <v>On</v>
      </c>
      <c r="F340" t="str">
        <f>"Off"</f>
        <v>Off</v>
      </c>
      <c r="G340" t="str">
        <f>"Off"</f>
        <v>Off</v>
      </c>
      <c r="H340" t="str">
        <f>"Off"</f>
        <v>Off</v>
      </c>
      <c r="I340" t="str">
        <f>"Off"</f>
        <v>Off</v>
      </c>
      <c r="J340" t="str">
        <f t="shared" si="124"/>
        <v>Off</v>
      </c>
      <c r="K340" t="str">
        <f t="shared" si="124"/>
        <v>Off</v>
      </c>
      <c r="L340" t="str">
        <f>"Off"</f>
        <v>Off</v>
      </c>
      <c r="M340" t="str">
        <f>"Off"</f>
        <v>Off</v>
      </c>
      <c r="N340" t="str">
        <f>"On"</f>
        <v>On</v>
      </c>
      <c r="O340" t="str">
        <f t="shared" si="113"/>
        <v>Off</v>
      </c>
      <c r="P340" t="str">
        <f t="shared" si="113"/>
        <v>Off</v>
      </c>
      <c r="Q340" t="str">
        <f t="shared" si="113"/>
        <v>Off</v>
      </c>
      <c r="R340" t="str">
        <f t="shared" si="113"/>
        <v>Off</v>
      </c>
      <c r="S340" t="str">
        <f t="shared" si="113"/>
        <v>Off</v>
      </c>
      <c r="T340" t="str">
        <f t="shared" si="113"/>
        <v>Off</v>
      </c>
      <c r="U340" t="str">
        <f t="shared" si="113"/>
        <v>Off</v>
      </c>
      <c r="V340" t="str">
        <f t="shared" si="113"/>
        <v>Off</v>
      </c>
      <c r="W340" t="str">
        <f t="shared" si="113"/>
        <v>Off</v>
      </c>
      <c r="X340" t="str">
        <f t="shared" si="113"/>
        <v>Off</v>
      </c>
      <c r="Y340" t="str">
        <f t="shared" si="114"/>
        <v>Off</v>
      </c>
      <c r="Z340" t="str">
        <f t="shared" si="114"/>
        <v>Off</v>
      </c>
      <c r="AA340" t="str">
        <f t="shared" si="114"/>
        <v>Off</v>
      </c>
      <c r="AB340" t="str">
        <f t="shared" si="114"/>
        <v>Off</v>
      </c>
      <c r="AC340" t="str">
        <f t="shared" si="114"/>
        <v>Off</v>
      </c>
      <c r="AD340" t="str">
        <f t="shared" si="114"/>
        <v>Off</v>
      </c>
      <c r="AE340" t="str">
        <f t="shared" si="114"/>
        <v>Off</v>
      </c>
      <c r="AF340" t="str">
        <f t="shared" si="114"/>
        <v>Off</v>
      </c>
      <c r="AG340" t="str">
        <f t="shared" si="114"/>
        <v>Off</v>
      </c>
      <c r="AH340" t="str">
        <f t="shared" si="114"/>
        <v>Off</v>
      </c>
      <c r="AI340" t="str">
        <f t="shared" si="115"/>
        <v>Off</v>
      </c>
      <c r="AJ340" t="str">
        <f t="shared" si="115"/>
        <v>Off</v>
      </c>
      <c r="AK340" t="str">
        <f t="shared" si="115"/>
        <v>Off</v>
      </c>
      <c r="AL340" t="str">
        <f t="shared" si="115"/>
        <v>Off</v>
      </c>
      <c r="AM340" t="str">
        <f t="shared" si="115"/>
        <v>Off</v>
      </c>
      <c r="AN340" t="str">
        <f t="shared" si="115"/>
        <v>Off</v>
      </c>
      <c r="AO340" t="str">
        <f t="shared" si="115"/>
        <v>Off</v>
      </c>
      <c r="AP340" t="str">
        <f t="shared" si="115"/>
        <v>Off</v>
      </c>
      <c r="AQ340" t="str">
        <f t="shared" si="115"/>
        <v>Off</v>
      </c>
      <c r="AR340" t="str">
        <f t="shared" si="115"/>
        <v>Off</v>
      </c>
      <c r="AS340" t="str">
        <f t="shared" si="116"/>
        <v>Off</v>
      </c>
      <c r="AT340" t="str">
        <f t="shared" si="116"/>
        <v>Off</v>
      </c>
      <c r="AU340" t="str">
        <f t="shared" si="116"/>
        <v>Off</v>
      </c>
      <c r="AV340" t="str">
        <f t="shared" si="116"/>
        <v>Off</v>
      </c>
      <c r="AW340" t="str">
        <f t="shared" si="116"/>
        <v>Off</v>
      </c>
      <c r="AX340" t="str">
        <f t="shared" si="116"/>
        <v>Off</v>
      </c>
      <c r="AY340" t="str">
        <f t="shared" si="116"/>
        <v>Off</v>
      </c>
      <c r="AZ340" t="str">
        <f t="shared" si="116"/>
        <v>Off</v>
      </c>
      <c r="BA340" t="str">
        <f t="shared" si="116"/>
        <v>Off</v>
      </c>
      <c r="BB340" t="str">
        <f t="shared" si="116"/>
        <v>Off</v>
      </c>
      <c r="BC340" t="str">
        <f t="shared" si="117"/>
        <v>Off</v>
      </c>
      <c r="BD340" t="str">
        <f t="shared" si="117"/>
        <v>Off</v>
      </c>
      <c r="BE340" t="str">
        <f t="shared" si="117"/>
        <v>Off</v>
      </c>
      <c r="BF340" t="str">
        <f t="shared" si="117"/>
        <v>Off</v>
      </c>
      <c r="BG340" t="str">
        <f t="shared" si="117"/>
        <v>Off</v>
      </c>
      <c r="BH340" t="str">
        <f t="shared" si="117"/>
        <v>Off</v>
      </c>
      <c r="BI340" t="str">
        <f t="shared" si="117"/>
        <v>Off</v>
      </c>
      <c r="BJ340" t="str">
        <f t="shared" si="117"/>
        <v>Off</v>
      </c>
      <c r="BK340" t="str">
        <f t="shared" si="117"/>
        <v>Off</v>
      </c>
      <c r="BL340" t="str">
        <f t="shared" si="117"/>
        <v>Off</v>
      </c>
      <c r="BM340" t="str">
        <f t="shared" si="118"/>
        <v>Off</v>
      </c>
      <c r="BN340" t="str">
        <f t="shared" si="118"/>
        <v>Off</v>
      </c>
      <c r="BO340" t="str">
        <f t="shared" si="118"/>
        <v>Off</v>
      </c>
      <c r="BP340" t="str">
        <f t="shared" si="118"/>
        <v>Off</v>
      </c>
      <c r="BQ340" t="str">
        <f t="shared" si="118"/>
        <v>Off</v>
      </c>
      <c r="BR340" t="str">
        <f t="shared" si="118"/>
        <v>Off</v>
      </c>
      <c r="BS340" t="str">
        <f t="shared" si="118"/>
        <v>Off</v>
      </c>
      <c r="BT340" t="str">
        <f t="shared" si="118"/>
        <v>Off</v>
      </c>
      <c r="BU340" t="str">
        <f t="shared" si="118"/>
        <v>Off</v>
      </c>
      <c r="BV340" t="str">
        <f t="shared" si="118"/>
        <v>Off</v>
      </c>
      <c r="BW340" t="str">
        <f t="shared" si="119"/>
        <v>Off</v>
      </c>
      <c r="BX340" t="str">
        <f t="shared" si="119"/>
        <v>Off</v>
      </c>
      <c r="BY340" t="str">
        <f t="shared" si="119"/>
        <v>Off</v>
      </c>
      <c r="BZ340" t="str">
        <f t="shared" si="119"/>
        <v>Off</v>
      </c>
      <c r="CA340" t="str">
        <f t="shared" si="119"/>
        <v>Off</v>
      </c>
      <c r="CB340" t="str">
        <f t="shared" si="119"/>
        <v>Off</v>
      </c>
      <c r="CC340" t="str">
        <f t="shared" si="119"/>
        <v>Off</v>
      </c>
      <c r="CD340" t="str">
        <f t="shared" si="119"/>
        <v>Off</v>
      </c>
      <c r="CE340" t="str">
        <f t="shared" si="119"/>
        <v>Off</v>
      </c>
      <c r="CF340" t="str">
        <f t="shared" si="119"/>
        <v>Off</v>
      </c>
      <c r="CG340" t="str">
        <f t="shared" si="120"/>
        <v>Off</v>
      </c>
      <c r="CH340" t="str">
        <f t="shared" si="120"/>
        <v>Off</v>
      </c>
      <c r="CI340" t="str">
        <f t="shared" si="120"/>
        <v>Off</v>
      </c>
      <c r="CJ340" t="str">
        <f t="shared" si="120"/>
        <v>Off</v>
      </c>
      <c r="CK340" t="str">
        <f t="shared" si="120"/>
        <v>Off</v>
      </c>
      <c r="CL340" t="str">
        <f t="shared" si="120"/>
        <v>Off</v>
      </c>
      <c r="CM340" t="str">
        <f t="shared" si="120"/>
        <v>Off</v>
      </c>
      <c r="CN340" t="str">
        <f t="shared" si="120"/>
        <v>Off</v>
      </c>
      <c r="CO340" t="str">
        <f t="shared" si="120"/>
        <v>Off</v>
      </c>
      <c r="CP340" t="str">
        <f t="shared" si="120"/>
        <v>Off</v>
      </c>
      <c r="CQ340" t="str">
        <f t="shared" si="121"/>
        <v>Off</v>
      </c>
      <c r="CR340" t="str">
        <f t="shared" si="121"/>
        <v>Off</v>
      </c>
      <c r="CS340" t="str">
        <f t="shared" si="121"/>
        <v>Off</v>
      </c>
      <c r="CT340" t="str">
        <f t="shared" si="121"/>
        <v>Off</v>
      </c>
      <c r="CU340" t="str">
        <f t="shared" si="121"/>
        <v>Off</v>
      </c>
      <c r="CV340" t="str">
        <f t="shared" si="121"/>
        <v>Off</v>
      </c>
      <c r="CW340" t="str">
        <f t="shared" si="121"/>
        <v>Off</v>
      </c>
    </row>
    <row r="341" spans="1:101">
      <c r="A341" t="s">
        <v>1471</v>
      </c>
      <c r="B341" t="str">
        <f>"On"</f>
        <v>On</v>
      </c>
      <c r="C341" t="str">
        <f t="shared" si="123"/>
        <v>Off</v>
      </c>
      <c r="D341" t="str">
        <f t="shared" si="123"/>
        <v>Off</v>
      </c>
      <c r="E341" t="str">
        <f>"Off"</f>
        <v>Off</v>
      </c>
      <c r="F341" t="str">
        <f>"Off"</f>
        <v>Off</v>
      </c>
      <c r="G341" t="str">
        <f>"Off"</f>
        <v>Off</v>
      </c>
      <c r="H341" t="str">
        <f>"Off"</f>
        <v>Off</v>
      </c>
      <c r="I341" t="str">
        <f>"On"</f>
        <v>On</v>
      </c>
      <c r="J341" t="str">
        <f t="shared" si="124"/>
        <v>Off</v>
      </c>
      <c r="K341" t="str">
        <f t="shared" si="124"/>
        <v>Off</v>
      </c>
      <c r="L341" t="str">
        <f>"Off"</f>
        <v>Off</v>
      </c>
      <c r="M341" t="str">
        <f>"Off"</f>
        <v>Off</v>
      </c>
      <c r="N341" t="str">
        <f>"On"</f>
        <v>On</v>
      </c>
      <c r="O341" t="str">
        <f t="shared" si="113"/>
        <v>Off</v>
      </c>
      <c r="P341" t="str">
        <f t="shared" si="113"/>
        <v>Off</v>
      </c>
      <c r="Q341" t="str">
        <f t="shared" si="113"/>
        <v>Off</v>
      </c>
      <c r="R341" t="str">
        <f t="shared" si="113"/>
        <v>Off</v>
      </c>
      <c r="S341" t="str">
        <f t="shared" si="113"/>
        <v>Off</v>
      </c>
      <c r="T341" t="str">
        <f t="shared" si="113"/>
        <v>Off</v>
      </c>
      <c r="U341" t="str">
        <f t="shared" si="113"/>
        <v>Off</v>
      </c>
      <c r="V341" t="str">
        <f t="shared" si="113"/>
        <v>Off</v>
      </c>
      <c r="W341" t="str">
        <f t="shared" si="113"/>
        <v>Off</v>
      </c>
      <c r="X341" t="str">
        <f t="shared" si="113"/>
        <v>Off</v>
      </c>
      <c r="Y341" t="str">
        <f t="shared" si="114"/>
        <v>Off</v>
      </c>
      <c r="Z341" t="str">
        <f t="shared" si="114"/>
        <v>Off</v>
      </c>
      <c r="AA341" t="str">
        <f t="shared" si="114"/>
        <v>Off</v>
      </c>
      <c r="AB341" t="str">
        <f t="shared" si="114"/>
        <v>Off</v>
      </c>
      <c r="AC341" t="str">
        <f t="shared" si="114"/>
        <v>Off</v>
      </c>
      <c r="AD341" t="str">
        <f t="shared" si="114"/>
        <v>Off</v>
      </c>
      <c r="AE341" t="str">
        <f t="shared" si="114"/>
        <v>Off</v>
      </c>
      <c r="AF341" t="str">
        <f t="shared" si="114"/>
        <v>Off</v>
      </c>
      <c r="AG341" t="str">
        <f t="shared" si="114"/>
        <v>Off</v>
      </c>
      <c r="AH341" t="str">
        <f t="shared" si="114"/>
        <v>Off</v>
      </c>
      <c r="AI341" t="str">
        <f t="shared" si="115"/>
        <v>Off</v>
      </c>
      <c r="AJ341" t="str">
        <f t="shared" si="115"/>
        <v>Off</v>
      </c>
      <c r="AK341" t="str">
        <f t="shared" si="115"/>
        <v>Off</v>
      </c>
      <c r="AL341" t="str">
        <f t="shared" si="115"/>
        <v>Off</v>
      </c>
      <c r="AM341" t="str">
        <f t="shared" si="115"/>
        <v>Off</v>
      </c>
      <c r="AN341" t="str">
        <f t="shared" si="115"/>
        <v>Off</v>
      </c>
      <c r="AO341" t="str">
        <f t="shared" si="115"/>
        <v>Off</v>
      </c>
      <c r="AP341" t="str">
        <f t="shared" si="115"/>
        <v>Off</v>
      </c>
      <c r="AQ341" t="str">
        <f t="shared" si="115"/>
        <v>Off</v>
      </c>
      <c r="AR341" t="str">
        <f t="shared" si="115"/>
        <v>Off</v>
      </c>
      <c r="AS341" t="str">
        <f t="shared" si="116"/>
        <v>Off</v>
      </c>
      <c r="AT341" t="str">
        <f t="shared" si="116"/>
        <v>Off</v>
      </c>
      <c r="AU341" t="str">
        <f t="shared" si="116"/>
        <v>Off</v>
      </c>
      <c r="AV341" t="str">
        <f t="shared" si="116"/>
        <v>Off</v>
      </c>
      <c r="AW341" t="str">
        <f t="shared" si="116"/>
        <v>Off</v>
      </c>
      <c r="AX341" t="str">
        <f t="shared" si="116"/>
        <v>Off</v>
      </c>
      <c r="AY341" t="str">
        <f t="shared" si="116"/>
        <v>Off</v>
      </c>
      <c r="AZ341" t="str">
        <f t="shared" si="116"/>
        <v>Off</v>
      </c>
      <c r="BA341" t="str">
        <f t="shared" si="116"/>
        <v>Off</v>
      </c>
      <c r="BB341" t="str">
        <f t="shared" si="116"/>
        <v>Off</v>
      </c>
      <c r="BC341" t="str">
        <f t="shared" si="117"/>
        <v>Off</v>
      </c>
      <c r="BD341" t="str">
        <f t="shared" si="117"/>
        <v>Off</v>
      </c>
      <c r="BE341" t="str">
        <f t="shared" si="117"/>
        <v>Off</v>
      </c>
      <c r="BF341" t="str">
        <f t="shared" si="117"/>
        <v>Off</v>
      </c>
      <c r="BG341" t="str">
        <f t="shared" si="117"/>
        <v>Off</v>
      </c>
      <c r="BH341" t="str">
        <f t="shared" si="117"/>
        <v>Off</v>
      </c>
      <c r="BI341" t="str">
        <f t="shared" si="117"/>
        <v>Off</v>
      </c>
      <c r="BJ341" t="str">
        <f t="shared" si="117"/>
        <v>Off</v>
      </c>
      <c r="BK341" t="str">
        <f t="shared" si="117"/>
        <v>Off</v>
      </c>
      <c r="BL341" t="str">
        <f t="shared" si="117"/>
        <v>Off</v>
      </c>
      <c r="BM341" t="str">
        <f t="shared" si="118"/>
        <v>Off</v>
      </c>
      <c r="BN341" t="str">
        <f t="shared" si="118"/>
        <v>Off</v>
      </c>
      <c r="BO341" t="str">
        <f t="shared" si="118"/>
        <v>Off</v>
      </c>
      <c r="BP341" t="str">
        <f t="shared" si="118"/>
        <v>Off</v>
      </c>
      <c r="BQ341" t="str">
        <f t="shared" si="118"/>
        <v>Off</v>
      </c>
      <c r="BR341" t="str">
        <f t="shared" si="118"/>
        <v>Off</v>
      </c>
      <c r="BS341" t="str">
        <f t="shared" si="118"/>
        <v>Off</v>
      </c>
      <c r="BT341" t="str">
        <f t="shared" si="118"/>
        <v>Off</v>
      </c>
      <c r="BU341" t="str">
        <f t="shared" si="118"/>
        <v>Off</v>
      </c>
      <c r="BV341" t="str">
        <f t="shared" si="118"/>
        <v>Off</v>
      </c>
      <c r="BW341" t="str">
        <f t="shared" si="119"/>
        <v>Off</v>
      </c>
      <c r="BX341" t="str">
        <f t="shared" si="119"/>
        <v>Off</v>
      </c>
      <c r="BY341" t="str">
        <f t="shared" si="119"/>
        <v>Off</v>
      </c>
      <c r="BZ341" t="str">
        <f t="shared" si="119"/>
        <v>Off</v>
      </c>
      <c r="CA341" t="str">
        <f t="shared" si="119"/>
        <v>Off</v>
      </c>
      <c r="CB341" t="str">
        <f t="shared" si="119"/>
        <v>Off</v>
      </c>
      <c r="CC341" t="str">
        <f t="shared" si="119"/>
        <v>Off</v>
      </c>
      <c r="CD341" t="str">
        <f t="shared" si="119"/>
        <v>Off</v>
      </c>
      <c r="CE341" t="str">
        <f t="shared" si="119"/>
        <v>Off</v>
      </c>
      <c r="CF341" t="str">
        <f t="shared" si="119"/>
        <v>Off</v>
      </c>
      <c r="CG341" t="str">
        <f t="shared" si="120"/>
        <v>Off</v>
      </c>
      <c r="CH341" t="str">
        <f t="shared" si="120"/>
        <v>Off</v>
      </c>
      <c r="CI341" t="str">
        <f t="shared" si="120"/>
        <v>Off</v>
      </c>
      <c r="CJ341" t="str">
        <f t="shared" si="120"/>
        <v>Off</v>
      </c>
      <c r="CK341" t="str">
        <f t="shared" si="120"/>
        <v>Off</v>
      </c>
      <c r="CL341" t="str">
        <f t="shared" si="120"/>
        <v>Off</v>
      </c>
      <c r="CM341" t="str">
        <f t="shared" si="120"/>
        <v>Off</v>
      </c>
      <c r="CN341" t="str">
        <f t="shared" si="120"/>
        <v>Off</v>
      </c>
      <c r="CO341" t="str">
        <f t="shared" si="120"/>
        <v>Off</v>
      </c>
      <c r="CP341" t="str">
        <f t="shared" si="120"/>
        <v>Off</v>
      </c>
      <c r="CQ341" t="str">
        <f t="shared" si="121"/>
        <v>Off</v>
      </c>
      <c r="CR341" t="str">
        <f t="shared" si="121"/>
        <v>Off</v>
      </c>
      <c r="CS341" t="str">
        <f t="shared" si="121"/>
        <v>Off</v>
      </c>
      <c r="CT341" t="str">
        <f t="shared" si="121"/>
        <v>Off</v>
      </c>
      <c r="CU341" t="str">
        <f t="shared" si="121"/>
        <v>Off</v>
      </c>
      <c r="CV341" t="str">
        <f t="shared" si="121"/>
        <v>Off</v>
      </c>
      <c r="CW341" t="str">
        <f t="shared" si="121"/>
        <v>Off</v>
      </c>
    </row>
    <row r="343" spans="1:101">
      <c r="B343" t="s">
        <v>1472</v>
      </c>
      <c r="C343">
        <v>4</v>
      </c>
      <c r="D343">
        <v>1</v>
      </c>
      <c r="E343">
        <v>1</v>
      </c>
    </row>
    <row r="344" spans="1:101">
      <c r="B344" t="s">
        <v>1473</v>
      </c>
    </row>
    <row r="345" spans="1:101">
      <c r="A345" t="s">
        <v>1474</v>
      </c>
      <c r="B345">
        <v>0</v>
      </c>
    </row>
    <row r="346" spans="1:101">
      <c r="A346" t="s">
        <v>1475</v>
      </c>
      <c r="B346">
        <v>0</v>
      </c>
    </row>
    <row r="347" spans="1:101">
      <c r="A347" t="s">
        <v>1476</v>
      </c>
      <c r="B347">
        <v>0</v>
      </c>
    </row>
    <row r="348" spans="1:101">
      <c r="A348" t="s">
        <v>1477</v>
      </c>
      <c r="B348">
        <v>0</v>
      </c>
    </row>
    <row r="350" spans="1:101">
      <c r="B350" t="s">
        <v>1478</v>
      </c>
      <c r="C350">
        <v>3</v>
      </c>
      <c r="D350">
        <v>4</v>
      </c>
      <c r="E350">
        <v>1</v>
      </c>
    </row>
    <row r="351" spans="1:101">
      <c r="B351" t="s">
        <v>187</v>
      </c>
      <c r="C351" t="s">
        <v>189</v>
      </c>
      <c r="D351" t="s">
        <v>191</v>
      </c>
      <c r="E351" t="s">
        <v>192</v>
      </c>
    </row>
    <row r="352" spans="1:101">
      <c r="A352" t="s">
        <v>1479</v>
      </c>
      <c r="B352" t="str">
        <f>"NONE"</f>
        <v>NONE</v>
      </c>
      <c r="C352" t="str">
        <f>"NONE"</f>
        <v>NONE</v>
      </c>
      <c r="D352" t="str">
        <f>"NONE"</f>
        <v>NONE</v>
      </c>
      <c r="E352" t="str">
        <f>"NONE"</f>
        <v>NONE</v>
      </c>
    </row>
    <row r="353" spans="1:5">
      <c r="A353" t="s">
        <v>1480</v>
      </c>
      <c r="B353">
        <v>0</v>
      </c>
      <c r="C353">
        <v>0</v>
      </c>
      <c r="D353">
        <v>0</v>
      </c>
      <c r="E353">
        <v>0</v>
      </c>
    </row>
    <row r="354" spans="1:5">
      <c r="A354" t="s">
        <v>1481</v>
      </c>
      <c r="B354" t="str">
        <f>"SP1"</f>
        <v>SP1</v>
      </c>
      <c r="C354" t="str">
        <f>"SP2"</f>
        <v>SP2</v>
      </c>
      <c r="D354" t="str">
        <f>"SP8"</f>
        <v>SP8</v>
      </c>
      <c r="E354" t="str">
        <f>"OFF"</f>
        <v>OFF</v>
      </c>
    </row>
    <row r="356" spans="1:5">
      <c r="B356" t="s">
        <v>1482</v>
      </c>
      <c r="C356">
        <v>26</v>
      </c>
      <c r="D356">
        <v>1</v>
      </c>
      <c r="E356">
        <v>1</v>
      </c>
    </row>
    <row r="357" spans="1:5">
      <c r="B357" t="s">
        <v>1483</v>
      </c>
    </row>
    <row r="358" spans="1:5">
      <c r="A358" t="s">
        <v>1484</v>
      </c>
      <c r="B358">
        <v>0</v>
      </c>
    </row>
    <row r="359" spans="1:5">
      <c r="A359" t="s">
        <v>1485</v>
      </c>
      <c r="B359">
        <v>0</v>
      </c>
    </row>
    <row r="360" spans="1:5">
      <c r="A360" t="s">
        <v>1486</v>
      </c>
      <c r="B360">
        <v>0</v>
      </c>
    </row>
    <row r="361" spans="1:5">
      <c r="A361" t="s">
        <v>1487</v>
      </c>
      <c r="B361">
        <v>0</v>
      </c>
    </row>
    <row r="362" spans="1:5">
      <c r="A362" t="s">
        <v>1488</v>
      </c>
      <c r="B362">
        <v>0</v>
      </c>
    </row>
    <row r="363" spans="1:5">
      <c r="A363" t="s">
        <v>1489</v>
      </c>
      <c r="B363">
        <v>0</v>
      </c>
    </row>
    <row r="364" spans="1:5">
      <c r="A364" t="s">
        <v>1490</v>
      </c>
      <c r="B364">
        <v>0</v>
      </c>
    </row>
    <row r="365" spans="1:5">
      <c r="A365" t="s">
        <v>1491</v>
      </c>
      <c r="B365">
        <v>0</v>
      </c>
    </row>
    <row r="366" spans="1:5">
      <c r="A366" t="s">
        <v>1492</v>
      </c>
      <c r="B366">
        <v>0</v>
      </c>
    </row>
    <row r="367" spans="1:5">
      <c r="A367" t="s">
        <v>1493</v>
      </c>
      <c r="B367">
        <v>0</v>
      </c>
    </row>
    <row r="368" spans="1:5">
      <c r="A368" t="s">
        <v>1494</v>
      </c>
      <c r="B368">
        <v>0</v>
      </c>
    </row>
    <row r="369" spans="1:2">
      <c r="A369" t="s">
        <v>1495</v>
      </c>
      <c r="B369">
        <v>0</v>
      </c>
    </row>
    <row r="370" spans="1:2">
      <c r="A370" t="s">
        <v>24</v>
      </c>
      <c r="B370">
        <v>0</v>
      </c>
    </row>
    <row r="371" spans="1:2">
      <c r="A371" t="s">
        <v>1496</v>
      </c>
      <c r="B371">
        <v>0</v>
      </c>
    </row>
    <row r="372" spans="1:2">
      <c r="A372" t="s">
        <v>1497</v>
      </c>
      <c r="B372">
        <v>0</v>
      </c>
    </row>
    <row r="373" spans="1:2">
      <c r="A373" t="s">
        <v>1498</v>
      </c>
      <c r="B373">
        <v>0</v>
      </c>
    </row>
    <row r="374" spans="1:2">
      <c r="A374" t="s">
        <v>25</v>
      </c>
      <c r="B374">
        <v>0</v>
      </c>
    </row>
    <row r="375" spans="1:2">
      <c r="A375" t="s">
        <v>1499</v>
      </c>
      <c r="B375">
        <v>0</v>
      </c>
    </row>
    <row r="376" spans="1:2">
      <c r="A376" t="s">
        <v>1500</v>
      </c>
      <c r="B376">
        <v>0</v>
      </c>
    </row>
    <row r="377" spans="1:2">
      <c r="A377" t="s">
        <v>1501</v>
      </c>
      <c r="B377">
        <v>0</v>
      </c>
    </row>
    <row r="378" spans="1:2">
      <c r="A378" t="s">
        <v>1502</v>
      </c>
      <c r="B378">
        <v>0</v>
      </c>
    </row>
    <row r="379" spans="1:2">
      <c r="A379" t="s">
        <v>1503</v>
      </c>
      <c r="B379">
        <v>0</v>
      </c>
    </row>
    <row r="380" spans="1:2">
      <c r="A380" t="s">
        <v>1504</v>
      </c>
      <c r="B380">
        <v>0</v>
      </c>
    </row>
    <row r="381" spans="1:2">
      <c r="A381" t="s">
        <v>1505</v>
      </c>
      <c r="B381">
        <v>0</v>
      </c>
    </row>
    <row r="382" spans="1:2">
      <c r="A382" t="s">
        <v>52</v>
      </c>
      <c r="B382">
        <v>0</v>
      </c>
    </row>
    <row r="383" spans="1:2">
      <c r="A383" t="s">
        <v>1506</v>
      </c>
      <c r="B383">
        <v>30</v>
      </c>
    </row>
    <row r="385" spans="1:9">
      <c r="B385" t="s">
        <v>1507</v>
      </c>
      <c r="C385">
        <v>2</v>
      </c>
      <c r="D385">
        <v>1</v>
      </c>
      <c r="E385">
        <v>1</v>
      </c>
    </row>
    <row r="386" spans="1:9">
      <c r="B386" t="s">
        <v>1508</v>
      </c>
    </row>
    <row r="387" spans="1:9">
      <c r="A387" t="s">
        <v>714</v>
      </c>
      <c r="B387" t="str">
        <f>"CHANNEL"</f>
        <v>CHANNEL</v>
      </c>
    </row>
    <row r="388" spans="1:9">
      <c r="A388" t="s">
        <v>1509</v>
      </c>
      <c r="B388" t="str">
        <f>"D-CONN"</f>
        <v>D-CONN</v>
      </c>
    </row>
    <row r="390" spans="1:9">
      <c r="B390" t="s">
        <v>1510</v>
      </c>
      <c r="C390">
        <v>29</v>
      </c>
      <c r="D390">
        <v>8</v>
      </c>
      <c r="E390">
        <v>1</v>
      </c>
    </row>
    <row r="391" spans="1:9">
      <c r="B391" t="s">
        <v>1511</v>
      </c>
      <c r="C391" t="s">
        <v>1512</v>
      </c>
      <c r="D391" t="s">
        <v>1513</v>
      </c>
      <c r="E391" t="s">
        <v>1514</v>
      </c>
      <c r="F391" t="s">
        <v>1515</v>
      </c>
      <c r="G391" t="s">
        <v>1516</v>
      </c>
      <c r="H391" t="s">
        <v>1517</v>
      </c>
      <c r="I391" t="s">
        <v>1518</v>
      </c>
    </row>
    <row r="392" spans="1:9">
      <c r="A392" t="s">
        <v>1519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>
      <c r="A393" t="s">
        <v>1520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>
      <c r="A394" t="s">
        <v>1521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>
      <c r="A395" t="s">
        <v>1522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>
      <c r="A396" t="s">
        <v>1523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>
      <c r="A397" t="s">
        <v>1524</v>
      </c>
      <c r="B397" t="str">
        <f t="shared" ref="B397:I406" si="125">"Off"</f>
        <v>Off</v>
      </c>
      <c r="C397" t="str">
        <f t="shared" si="125"/>
        <v>Off</v>
      </c>
      <c r="D397" t="str">
        <f t="shared" si="125"/>
        <v>Off</v>
      </c>
      <c r="E397" t="str">
        <f t="shared" si="125"/>
        <v>Off</v>
      </c>
      <c r="F397" t="str">
        <f t="shared" si="125"/>
        <v>Off</v>
      </c>
      <c r="G397" t="str">
        <f t="shared" si="125"/>
        <v>Off</v>
      </c>
      <c r="H397" t="str">
        <f t="shared" si="125"/>
        <v>Off</v>
      </c>
      <c r="I397" t="str">
        <f t="shared" si="125"/>
        <v>Off</v>
      </c>
    </row>
    <row r="398" spans="1:9">
      <c r="A398" t="s">
        <v>1525</v>
      </c>
      <c r="B398" t="str">
        <f t="shared" si="125"/>
        <v>Off</v>
      </c>
      <c r="C398" t="str">
        <f t="shared" si="125"/>
        <v>Off</v>
      </c>
      <c r="D398" t="str">
        <f t="shared" si="125"/>
        <v>Off</v>
      </c>
      <c r="E398" t="str">
        <f t="shared" si="125"/>
        <v>Off</v>
      </c>
      <c r="F398" t="str">
        <f t="shared" si="125"/>
        <v>Off</v>
      </c>
      <c r="G398" t="str">
        <f t="shared" si="125"/>
        <v>Off</v>
      </c>
      <c r="H398" t="str">
        <f t="shared" si="125"/>
        <v>Off</v>
      </c>
      <c r="I398" t="str">
        <f t="shared" si="125"/>
        <v>Off</v>
      </c>
    </row>
    <row r="399" spans="1:9">
      <c r="A399" t="s">
        <v>1526</v>
      </c>
      <c r="B399" t="str">
        <f t="shared" si="125"/>
        <v>Off</v>
      </c>
      <c r="C399" t="str">
        <f t="shared" si="125"/>
        <v>Off</v>
      </c>
      <c r="D399" t="str">
        <f t="shared" si="125"/>
        <v>Off</v>
      </c>
      <c r="E399" t="str">
        <f t="shared" si="125"/>
        <v>Off</v>
      </c>
      <c r="F399" t="str">
        <f t="shared" si="125"/>
        <v>Off</v>
      </c>
      <c r="G399" t="str">
        <f t="shared" si="125"/>
        <v>Off</v>
      </c>
      <c r="H399" t="str">
        <f t="shared" si="125"/>
        <v>Off</v>
      </c>
      <c r="I399" t="str">
        <f t="shared" si="125"/>
        <v>Off</v>
      </c>
    </row>
    <row r="400" spans="1:9">
      <c r="A400" t="s">
        <v>1527</v>
      </c>
      <c r="B400" t="str">
        <f t="shared" si="125"/>
        <v>Off</v>
      </c>
      <c r="C400" t="str">
        <f t="shared" si="125"/>
        <v>Off</v>
      </c>
      <c r="D400" t="str">
        <f t="shared" si="125"/>
        <v>Off</v>
      </c>
      <c r="E400" t="str">
        <f t="shared" si="125"/>
        <v>Off</v>
      </c>
      <c r="F400" t="str">
        <f t="shared" si="125"/>
        <v>Off</v>
      </c>
      <c r="G400" t="str">
        <f t="shared" si="125"/>
        <v>Off</v>
      </c>
      <c r="H400" t="str">
        <f t="shared" si="125"/>
        <v>Off</v>
      </c>
      <c r="I400" t="str">
        <f t="shared" si="125"/>
        <v>Off</v>
      </c>
    </row>
    <row r="401" spans="1:9">
      <c r="A401" t="s">
        <v>1528</v>
      </c>
      <c r="B401" t="str">
        <f t="shared" si="125"/>
        <v>Off</v>
      </c>
      <c r="C401" t="str">
        <f t="shared" si="125"/>
        <v>Off</v>
      </c>
      <c r="D401" t="str">
        <f t="shared" si="125"/>
        <v>Off</v>
      </c>
      <c r="E401" t="str">
        <f t="shared" si="125"/>
        <v>Off</v>
      </c>
      <c r="F401" t="str">
        <f t="shared" si="125"/>
        <v>Off</v>
      </c>
      <c r="G401" t="str">
        <f t="shared" si="125"/>
        <v>Off</v>
      </c>
      <c r="H401" t="str">
        <f t="shared" si="125"/>
        <v>Off</v>
      </c>
      <c r="I401" t="str">
        <f t="shared" si="125"/>
        <v>Off</v>
      </c>
    </row>
    <row r="402" spans="1:9">
      <c r="A402" t="s">
        <v>1529</v>
      </c>
      <c r="B402" t="str">
        <f t="shared" si="125"/>
        <v>Off</v>
      </c>
      <c r="C402" t="str">
        <f t="shared" si="125"/>
        <v>Off</v>
      </c>
      <c r="D402" t="str">
        <f t="shared" si="125"/>
        <v>Off</v>
      </c>
      <c r="E402" t="str">
        <f t="shared" si="125"/>
        <v>Off</v>
      </c>
      <c r="F402" t="str">
        <f t="shared" si="125"/>
        <v>Off</v>
      </c>
      <c r="G402" t="str">
        <f t="shared" si="125"/>
        <v>Off</v>
      </c>
      <c r="H402" t="str">
        <f t="shared" si="125"/>
        <v>Off</v>
      </c>
      <c r="I402" t="str">
        <f t="shared" si="125"/>
        <v>Off</v>
      </c>
    </row>
    <row r="403" spans="1:9">
      <c r="A403" t="s">
        <v>1530</v>
      </c>
      <c r="B403" t="str">
        <f t="shared" si="125"/>
        <v>Off</v>
      </c>
      <c r="C403" t="str">
        <f t="shared" si="125"/>
        <v>Off</v>
      </c>
      <c r="D403" t="str">
        <f t="shared" si="125"/>
        <v>Off</v>
      </c>
      <c r="E403" t="str">
        <f t="shared" si="125"/>
        <v>Off</v>
      </c>
      <c r="F403" t="str">
        <f t="shared" si="125"/>
        <v>Off</v>
      </c>
      <c r="G403" t="str">
        <f t="shared" si="125"/>
        <v>Off</v>
      </c>
      <c r="H403" t="str">
        <f t="shared" si="125"/>
        <v>Off</v>
      </c>
      <c r="I403" t="str">
        <f t="shared" si="125"/>
        <v>Off</v>
      </c>
    </row>
    <row r="404" spans="1:9">
      <c r="A404" t="s">
        <v>1531</v>
      </c>
      <c r="B404" t="str">
        <f t="shared" si="125"/>
        <v>Off</v>
      </c>
      <c r="C404" t="str">
        <f t="shared" si="125"/>
        <v>Off</v>
      </c>
      <c r="D404" t="str">
        <f t="shared" si="125"/>
        <v>Off</v>
      </c>
      <c r="E404" t="str">
        <f t="shared" si="125"/>
        <v>Off</v>
      </c>
      <c r="F404" t="str">
        <f t="shared" si="125"/>
        <v>Off</v>
      </c>
      <c r="G404" t="str">
        <f t="shared" si="125"/>
        <v>Off</v>
      </c>
      <c r="H404" t="str">
        <f t="shared" si="125"/>
        <v>Off</v>
      </c>
      <c r="I404" t="str">
        <f t="shared" si="125"/>
        <v>Off</v>
      </c>
    </row>
    <row r="405" spans="1:9">
      <c r="A405" t="s">
        <v>1532</v>
      </c>
      <c r="B405" t="str">
        <f t="shared" si="125"/>
        <v>Off</v>
      </c>
      <c r="C405" t="str">
        <f t="shared" si="125"/>
        <v>Off</v>
      </c>
      <c r="D405" t="str">
        <f t="shared" si="125"/>
        <v>Off</v>
      </c>
      <c r="E405" t="str">
        <f t="shared" si="125"/>
        <v>Off</v>
      </c>
      <c r="F405" t="str">
        <f t="shared" si="125"/>
        <v>Off</v>
      </c>
      <c r="G405" t="str">
        <f t="shared" si="125"/>
        <v>Off</v>
      </c>
      <c r="H405" t="str">
        <f t="shared" si="125"/>
        <v>Off</v>
      </c>
      <c r="I405" t="str">
        <f t="shared" si="125"/>
        <v>Off</v>
      </c>
    </row>
    <row r="406" spans="1:9">
      <c r="A406" t="s">
        <v>1533</v>
      </c>
      <c r="B406" t="str">
        <f t="shared" si="125"/>
        <v>Off</v>
      </c>
      <c r="C406" t="str">
        <f t="shared" si="125"/>
        <v>Off</v>
      </c>
      <c r="D406" t="str">
        <f t="shared" si="125"/>
        <v>Off</v>
      </c>
      <c r="E406" t="str">
        <f t="shared" si="125"/>
        <v>Off</v>
      </c>
      <c r="F406" t="str">
        <f t="shared" si="125"/>
        <v>Off</v>
      </c>
      <c r="G406" t="str">
        <f t="shared" si="125"/>
        <v>Off</v>
      </c>
      <c r="H406" t="str">
        <f t="shared" si="125"/>
        <v>Off</v>
      </c>
      <c r="I406" t="str">
        <f t="shared" si="125"/>
        <v>Off</v>
      </c>
    </row>
    <row r="407" spans="1:9">
      <c r="A407" t="s">
        <v>1534</v>
      </c>
      <c r="B407" t="str">
        <f t="shared" ref="B407:I412" si="126">"Off"</f>
        <v>Off</v>
      </c>
      <c r="C407" t="str">
        <f t="shared" si="126"/>
        <v>Off</v>
      </c>
      <c r="D407" t="str">
        <f t="shared" si="126"/>
        <v>Off</v>
      </c>
      <c r="E407" t="str">
        <f t="shared" si="126"/>
        <v>Off</v>
      </c>
      <c r="F407" t="str">
        <f t="shared" si="126"/>
        <v>Off</v>
      </c>
      <c r="G407" t="str">
        <f t="shared" si="126"/>
        <v>Off</v>
      </c>
      <c r="H407" t="str">
        <f t="shared" si="126"/>
        <v>Off</v>
      </c>
      <c r="I407" t="str">
        <f t="shared" si="126"/>
        <v>Off</v>
      </c>
    </row>
    <row r="408" spans="1:9">
      <c r="A408" t="s">
        <v>1535</v>
      </c>
      <c r="B408" t="str">
        <f t="shared" si="126"/>
        <v>Off</v>
      </c>
      <c r="C408" t="str">
        <f t="shared" si="126"/>
        <v>Off</v>
      </c>
      <c r="D408" t="str">
        <f t="shared" si="126"/>
        <v>Off</v>
      </c>
      <c r="E408" t="str">
        <f t="shared" si="126"/>
        <v>Off</v>
      </c>
      <c r="F408" t="str">
        <f t="shared" si="126"/>
        <v>Off</v>
      </c>
      <c r="G408" t="str">
        <f t="shared" si="126"/>
        <v>Off</v>
      </c>
      <c r="H408" t="str">
        <f t="shared" si="126"/>
        <v>Off</v>
      </c>
      <c r="I408" t="str">
        <f t="shared" si="126"/>
        <v>Off</v>
      </c>
    </row>
    <row r="409" spans="1:9">
      <c r="A409" t="s">
        <v>1536</v>
      </c>
      <c r="B409" t="str">
        <f t="shared" si="126"/>
        <v>Off</v>
      </c>
      <c r="C409" t="str">
        <f t="shared" si="126"/>
        <v>Off</v>
      </c>
      <c r="D409" t="str">
        <f t="shared" si="126"/>
        <v>Off</v>
      </c>
      <c r="E409" t="str">
        <f t="shared" si="126"/>
        <v>Off</v>
      </c>
      <c r="F409" t="str">
        <f t="shared" si="126"/>
        <v>Off</v>
      </c>
      <c r="G409" t="str">
        <f t="shared" si="126"/>
        <v>Off</v>
      </c>
      <c r="H409" t="str">
        <f t="shared" si="126"/>
        <v>Off</v>
      </c>
      <c r="I409" t="str">
        <f t="shared" si="126"/>
        <v>Off</v>
      </c>
    </row>
    <row r="410" spans="1:9">
      <c r="A410" t="s">
        <v>1537</v>
      </c>
      <c r="B410" t="str">
        <f t="shared" si="126"/>
        <v>Off</v>
      </c>
      <c r="C410" t="str">
        <f t="shared" si="126"/>
        <v>Off</v>
      </c>
      <c r="D410" t="str">
        <f t="shared" si="126"/>
        <v>Off</v>
      </c>
      <c r="E410" t="str">
        <f t="shared" si="126"/>
        <v>Off</v>
      </c>
      <c r="F410" t="str">
        <f t="shared" si="126"/>
        <v>Off</v>
      </c>
      <c r="G410" t="str">
        <f t="shared" si="126"/>
        <v>Off</v>
      </c>
      <c r="H410" t="str">
        <f t="shared" si="126"/>
        <v>Off</v>
      </c>
      <c r="I410" t="str">
        <f t="shared" si="126"/>
        <v>Off</v>
      </c>
    </row>
    <row r="411" spans="1:9">
      <c r="A411" t="s">
        <v>1538</v>
      </c>
      <c r="B411" t="str">
        <f t="shared" si="126"/>
        <v>Off</v>
      </c>
      <c r="C411" t="str">
        <f t="shared" si="126"/>
        <v>Off</v>
      </c>
      <c r="D411" t="str">
        <f t="shared" si="126"/>
        <v>Off</v>
      </c>
      <c r="E411" t="str">
        <f t="shared" si="126"/>
        <v>Off</v>
      </c>
      <c r="F411" t="str">
        <f t="shared" si="126"/>
        <v>Off</v>
      </c>
      <c r="G411" t="str">
        <f t="shared" si="126"/>
        <v>Off</v>
      </c>
      <c r="H411" t="str">
        <f t="shared" si="126"/>
        <v>Off</v>
      </c>
      <c r="I411" t="str">
        <f t="shared" si="126"/>
        <v>Off</v>
      </c>
    </row>
    <row r="412" spans="1:9">
      <c r="A412" t="s">
        <v>1539</v>
      </c>
      <c r="B412" t="str">
        <f t="shared" si="126"/>
        <v>Off</v>
      </c>
      <c r="C412" t="str">
        <f t="shared" si="126"/>
        <v>Off</v>
      </c>
      <c r="D412" t="str">
        <f t="shared" si="126"/>
        <v>Off</v>
      </c>
      <c r="E412" t="str">
        <f t="shared" si="126"/>
        <v>Off</v>
      </c>
      <c r="F412" t="str">
        <f t="shared" si="126"/>
        <v>Off</v>
      </c>
      <c r="G412" t="str">
        <f t="shared" si="126"/>
        <v>Off</v>
      </c>
      <c r="H412" t="str">
        <f t="shared" si="126"/>
        <v>Off</v>
      </c>
      <c r="I412" t="str">
        <f t="shared" si="126"/>
        <v>Off</v>
      </c>
    </row>
    <row r="413" spans="1:9">
      <c r="A413" t="s">
        <v>1540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>
      <c r="A414" t="s">
        <v>1541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>
      <c r="A415" t="s">
        <v>1542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>
      <c r="A416" t="s">
        <v>1543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>
      <c r="A417" t="s">
        <v>1544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>
      <c r="A418" t="s">
        <v>1545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>
      <c r="A419" t="s">
        <v>1546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>
      <c r="A420" t="s">
        <v>1547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</row>
    <row r="422" spans="1:9">
      <c r="B422" t="s">
        <v>1548</v>
      </c>
      <c r="C422">
        <v>29</v>
      </c>
      <c r="D422">
        <v>8</v>
      </c>
      <c r="E422">
        <v>1</v>
      </c>
    </row>
    <row r="423" spans="1:9">
      <c r="B423" t="s">
        <v>1511</v>
      </c>
      <c r="C423" t="s">
        <v>1512</v>
      </c>
      <c r="D423" t="s">
        <v>1513</v>
      </c>
      <c r="E423" t="s">
        <v>1514</v>
      </c>
      <c r="F423" t="s">
        <v>1515</v>
      </c>
      <c r="G423" t="s">
        <v>1516</v>
      </c>
      <c r="H423" t="s">
        <v>1517</v>
      </c>
      <c r="I423" t="s">
        <v>1518</v>
      </c>
    </row>
    <row r="424" spans="1:9">
      <c r="A424" t="s">
        <v>1519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>
      <c r="A425" t="s">
        <v>1520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>
      <c r="A426" t="s">
        <v>1521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>
      <c r="A427" t="s">
        <v>1522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>
      <c r="A428" t="s">
        <v>1523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>
      <c r="A429" t="s">
        <v>1524</v>
      </c>
      <c r="B429" t="str">
        <f t="shared" ref="B429:I438" si="127">"Off"</f>
        <v>Off</v>
      </c>
      <c r="C429" t="str">
        <f t="shared" si="127"/>
        <v>Off</v>
      </c>
      <c r="D429" t="str">
        <f t="shared" si="127"/>
        <v>Off</v>
      </c>
      <c r="E429" t="str">
        <f t="shared" si="127"/>
        <v>Off</v>
      </c>
      <c r="F429" t="str">
        <f t="shared" si="127"/>
        <v>Off</v>
      </c>
      <c r="G429" t="str">
        <f t="shared" si="127"/>
        <v>Off</v>
      </c>
      <c r="H429" t="str">
        <f t="shared" si="127"/>
        <v>Off</v>
      </c>
      <c r="I429" t="str">
        <f t="shared" si="127"/>
        <v>Off</v>
      </c>
    </row>
    <row r="430" spans="1:9">
      <c r="A430" t="s">
        <v>1525</v>
      </c>
      <c r="B430" t="str">
        <f t="shared" si="127"/>
        <v>Off</v>
      </c>
      <c r="C430" t="str">
        <f t="shared" si="127"/>
        <v>Off</v>
      </c>
      <c r="D430" t="str">
        <f t="shared" si="127"/>
        <v>Off</v>
      </c>
      <c r="E430" t="str">
        <f t="shared" si="127"/>
        <v>Off</v>
      </c>
      <c r="F430" t="str">
        <f t="shared" si="127"/>
        <v>Off</v>
      </c>
      <c r="G430" t="str">
        <f t="shared" si="127"/>
        <v>Off</v>
      </c>
      <c r="H430" t="str">
        <f t="shared" si="127"/>
        <v>Off</v>
      </c>
      <c r="I430" t="str">
        <f t="shared" si="127"/>
        <v>Off</v>
      </c>
    </row>
    <row r="431" spans="1:9">
      <c r="A431" t="s">
        <v>1526</v>
      </c>
      <c r="B431" t="str">
        <f t="shared" si="127"/>
        <v>Off</v>
      </c>
      <c r="C431" t="str">
        <f t="shared" si="127"/>
        <v>Off</v>
      </c>
      <c r="D431" t="str">
        <f t="shared" si="127"/>
        <v>Off</v>
      </c>
      <c r="E431" t="str">
        <f t="shared" si="127"/>
        <v>Off</v>
      </c>
      <c r="F431" t="str">
        <f t="shared" si="127"/>
        <v>Off</v>
      </c>
      <c r="G431" t="str">
        <f t="shared" si="127"/>
        <v>Off</v>
      </c>
      <c r="H431" t="str">
        <f t="shared" si="127"/>
        <v>Off</v>
      </c>
      <c r="I431" t="str">
        <f t="shared" si="127"/>
        <v>Off</v>
      </c>
    </row>
    <row r="432" spans="1:9">
      <c r="A432" t="s">
        <v>1527</v>
      </c>
      <c r="B432" t="str">
        <f t="shared" si="127"/>
        <v>Off</v>
      </c>
      <c r="C432" t="str">
        <f t="shared" si="127"/>
        <v>Off</v>
      </c>
      <c r="D432" t="str">
        <f t="shared" si="127"/>
        <v>Off</v>
      </c>
      <c r="E432" t="str">
        <f t="shared" si="127"/>
        <v>Off</v>
      </c>
      <c r="F432" t="str">
        <f t="shared" si="127"/>
        <v>Off</v>
      </c>
      <c r="G432" t="str">
        <f t="shared" si="127"/>
        <v>Off</v>
      </c>
      <c r="H432" t="str">
        <f t="shared" si="127"/>
        <v>Off</v>
      </c>
      <c r="I432" t="str">
        <f t="shared" si="127"/>
        <v>Off</v>
      </c>
    </row>
    <row r="433" spans="1:9">
      <c r="A433" t="s">
        <v>1528</v>
      </c>
      <c r="B433" t="str">
        <f t="shared" si="127"/>
        <v>Off</v>
      </c>
      <c r="C433" t="str">
        <f t="shared" si="127"/>
        <v>Off</v>
      </c>
      <c r="D433" t="str">
        <f t="shared" si="127"/>
        <v>Off</v>
      </c>
      <c r="E433" t="str">
        <f t="shared" si="127"/>
        <v>Off</v>
      </c>
      <c r="F433" t="str">
        <f t="shared" si="127"/>
        <v>Off</v>
      </c>
      <c r="G433" t="str">
        <f t="shared" si="127"/>
        <v>Off</v>
      </c>
      <c r="H433" t="str">
        <f t="shared" si="127"/>
        <v>Off</v>
      </c>
      <c r="I433" t="str">
        <f t="shared" si="127"/>
        <v>Off</v>
      </c>
    </row>
    <row r="434" spans="1:9">
      <c r="A434" t="s">
        <v>1529</v>
      </c>
      <c r="B434" t="str">
        <f t="shared" si="127"/>
        <v>Off</v>
      </c>
      <c r="C434" t="str">
        <f t="shared" si="127"/>
        <v>Off</v>
      </c>
      <c r="D434" t="str">
        <f t="shared" si="127"/>
        <v>Off</v>
      </c>
      <c r="E434" t="str">
        <f t="shared" si="127"/>
        <v>Off</v>
      </c>
      <c r="F434" t="str">
        <f t="shared" si="127"/>
        <v>Off</v>
      </c>
      <c r="G434" t="str">
        <f t="shared" si="127"/>
        <v>Off</v>
      </c>
      <c r="H434" t="str">
        <f t="shared" si="127"/>
        <v>Off</v>
      </c>
      <c r="I434" t="str">
        <f t="shared" si="127"/>
        <v>Off</v>
      </c>
    </row>
    <row r="435" spans="1:9">
      <c r="A435" t="s">
        <v>1530</v>
      </c>
      <c r="B435" t="str">
        <f t="shared" si="127"/>
        <v>Off</v>
      </c>
      <c r="C435" t="str">
        <f t="shared" si="127"/>
        <v>Off</v>
      </c>
      <c r="D435" t="str">
        <f t="shared" si="127"/>
        <v>Off</v>
      </c>
      <c r="E435" t="str">
        <f t="shared" si="127"/>
        <v>Off</v>
      </c>
      <c r="F435" t="str">
        <f t="shared" si="127"/>
        <v>Off</v>
      </c>
      <c r="G435" t="str">
        <f t="shared" si="127"/>
        <v>Off</v>
      </c>
      <c r="H435" t="str">
        <f t="shared" si="127"/>
        <v>Off</v>
      </c>
      <c r="I435" t="str">
        <f t="shared" si="127"/>
        <v>Off</v>
      </c>
    </row>
    <row r="436" spans="1:9">
      <c r="A436" t="s">
        <v>1531</v>
      </c>
      <c r="B436" t="str">
        <f t="shared" si="127"/>
        <v>Off</v>
      </c>
      <c r="C436" t="str">
        <f t="shared" si="127"/>
        <v>Off</v>
      </c>
      <c r="D436" t="str">
        <f t="shared" si="127"/>
        <v>Off</v>
      </c>
      <c r="E436" t="str">
        <f t="shared" si="127"/>
        <v>Off</v>
      </c>
      <c r="F436" t="str">
        <f t="shared" si="127"/>
        <v>Off</v>
      </c>
      <c r="G436" t="str">
        <f t="shared" si="127"/>
        <v>Off</v>
      </c>
      <c r="H436" t="str">
        <f t="shared" si="127"/>
        <v>Off</v>
      </c>
      <c r="I436" t="str">
        <f t="shared" si="127"/>
        <v>Off</v>
      </c>
    </row>
    <row r="437" spans="1:9">
      <c r="A437" t="s">
        <v>1532</v>
      </c>
      <c r="B437" t="str">
        <f t="shared" si="127"/>
        <v>Off</v>
      </c>
      <c r="C437" t="str">
        <f t="shared" si="127"/>
        <v>Off</v>
      </c>
      <c r="D437" t="str">
        <f t="shared" si="127"/>
        <v>Off</v>
      </c>
      <c r="E437" t="str">
        <f t="shared" si="127"/>
        <v>Off</v>
      </c>
      <c r="F437" t="str">
        <f t="shared" si="127"/>
        <v>Off</v>
      </c>
      <c r="G437" t="str">
        <f t="shared" si="127"/>
        <v>Off</v>
      </c>
      <c r="H437" t="str">
        <f t="shared" si="127"/>
        <v>Off</v>
      </c>
      <c r="I437" t="str">
        <f t="shared" si="127"/>
        <v>Off</v>
      </c>
    </row>
    <row r="438" spans="1:9">
      <c r="A438" t="s">
        <v>1533</v>
      </c>
      <c r="B438" t="str">
        <f t="shared" si="127"/>
        <v>Off</v>
      </c>
      <c r="C438" t="str">
        <f t="shared" si="127"/>
        <v>Off</v>
      </c>
      <c r="D438" t="str">
        <f t="shared" si="127"/>
        <v>Off</v>
      </c>
      <c r="E438" t="str">
        <f t="shared" si="127"/>
        <v>Off</v>
      </c>
      <c r="F438" t="str">
        <f t="shared" si="127"/>
        <v>Off</v>
      </c>
      <c r="G438" t="str">
        <f t="shared" si="127"/>
        <v>Off</v>
      </c>
      <c r="H438" t="str">
        <f t="shared" si="127"/>
        <v>Off</v>
      </c>
      <c r="I438" t="str">
        <f t="shared" si="127"/>
        <v>Off</v>
      </c>
    </row>
    <row r="439" spans="1:9">
      <c r="A439" t="s">
        <v>1534</v>
      </c>
      <c r="B439" t="str">
        <f t="shared" ref="B439:I444" si="128">"Off"</f>
        <v>Off</v>
      </c>
      <c r="C439" t="str">
        <f t="shared" si="128"/>
        <v>Off</v>
      </c>
      <c r="D439" t="str">
        <f t="shared" si="128"/>
        <v>Off</v>
      </c>
      <c r="E439" t="str">
        <f t="shared" si="128"/>
        <v>Off</v>
      </c>
      <c r="F439" t="str">
        <f t="shared" si="128"/>
        <v>Off</v>
      </c>
      <c r="G439" t="str">
        <f t="shared" si="128"/>
        <v>Off</v>
      </c>
      <c r="H439" t="str">
        <f t="shared" si="128"/>
        <v>Off</v>
      </c>
      <c r="I439" t="str">
        <f t="shared" si="128"/>
        <v>Off</v>
      </c>
    </row>
    <row r="440" spans="1:9">
      <c r="A440" t="s">
        <v>1535</v>
      </c>
      <c r="B440" t="str">
        <f t="shared" si="128"/>
        <v>Off</v>
      </c>
      <c r="C440" t="str">
        <f t="shared" si="128"/>
        <v>Off</v>
      </c>
      <c r="D440" t="str">
        <f t="shared" si="128"/>
        <v>Off</v>
      </c>
      <c r="E440" t="str">
        <f t="shared" si="128"/>
        <v>Off</v>
      </c>
      <c r="F440" t="str">
        <f t="shared" si="128"/>
        <v>Off</v>
      </c>
      <c r="G440" t="str">
        <f t="shared" si="128"/>
        <v>Off</v>
      </c>
      <c r="H440" t="str">
        <f t="shared" si="128"/>
        <v>Off</v>
      </c>
      <c r="I440" t="str">
        <f t="shared" si="128"/>
        <v>Off</v>
      </c>
    </row>
    <row r="441" spans="1:9">
      <c r="A441" t="s">
        <v>1536</v>
      </c>
      <c r="B441" t="str">
        <f t="shared" si="128"/>
        <v>Off</v>
      </c>
      <c r="C441" t="str">
        <f t="shared" si="128"/>
        <v>Off</v>
      </c>
      <c r="D441" t="str">
        <f t="shared" si="128"/>
        <v>Off</v>
      </c>
      <c r="E441" t="str">
        <f t="shared" si="128"/>
        <v>Off</v>
      </c>
      <c r="F441" t="str">
        <f t="shared" si="128"/>
        <v>Off</v>
      </c>
      <c r="G441" t="str">
        <f t="shared" si="128"/>
        <v>Off</v>
      </c>
      <c r="H441" t="str">
        <f t="shared" si="128"/>
        <v>Off</v>
      </c>
      <c r="I441" t="str">
        <f t="shared" si="128"/>
        <v>Off</v>
      </c>
    </row>
    <row r="442" spans="1:9">
      <c r="A442" t="s">
        <v>1537</v>
      </c>
      <c r="B442" t="str">
        <f t="shared" si="128"/>
        <v>Off</v>
      </c>
      <c r="C442" t="str">
        <f t="shared" si="128"/>
        <v>Off</v>
      </c>
      <c r="D442" t="str">
        <f t="shared" si="128"/>
        <v>Off</v>
      </c>
      <c r="E442" t="str">
        <f t="shared" si="128"/>
        <v>Off</v>
      </c>
      <c r="F442" t="str">
        <f t="shared" si="128"/>
        <v>Off</v>
      </c>
      <c r="G442" t="str">
        <f t="shared" si="128"/>
        <v>Off</v>
      </c>
      <c r="H442" t="str">
        <f t="shared" si="128"/>
        <v>Off</v>
      </c>
      <c r="I442" t="str">
        <f t="shared" si="128"/>
        <v>Off</v>
      </c>
    </row>
    <row r="443" spans="1:9">
      <c r="A443" t="s">
        <v>1538</v>
      </c>
      <c r="B443" t="str">
        <f t="shared" si="128"/>
        <v>Off</v>
      </c>
      <c r="C443" t="str">
        <f t="shared" si="128"/>
        <v>Off</v>
      </c>
      <c r="D443" t="str">
        <f t="shared" si="128"/>
        <v>Off</v>
      </c>
      <c r="E443" t="str">
        <f t="shared" si="128"/>
        <v>Off</v>
      </c>
      <c r="F443" t="str">
        <f t="shared" si="128"/>
        <v>Off</v>
      </c>
      <c r="G443" t="str">
        <f t="shared" si="128"/>
        <v>Off</v>
      </c>
      <c r="H443" t="str">
        <f t="shared" si="128"/>
        <v>Off</v>
      </c>
      <c r="I443" t="str">
        <f t="shared" si="128"/>
        <v>Off</v>
      </c>
    </row>
    <row r="444" spans="1:9">
      <c r="A444" t="s">
        <v>1539</v>
      </c>
      <c r="B444" t="str">
        <f t="shared" si="128"/>
        <v>Off</v>
      </c>
      <c r="C444" t="str">
        <f t="shared" si="128"/>
        <v>Off</v>
      </c>
      <c r="D444" t="str">
        <f t="shared" si="128"/>
        <v>Off</v>
      </c>
      <c r="E444" t="str">
        <f t="shared" si="128"/>
        <v>Off</v>
      </c>
      <c r="F444" t="str">
        <f t="shared" si="128"/>
        <v>Off</v>
      </c>
      <c r="G444" t="str">
        <f t="shared" si="128"/>
        <v>Off</v>
      </c>
      <c r="H444" t="str">
        <f t="shared" si="128"/>
        <v>Off</v>
      </c>
      <c r="I444" t="str">
        <f t="shared" si="128"/>
        <v>Off</v>
      </c>
    </row>
    <row r="445" spans="1:9">
      <c r="A445" t="s">
        <v>1540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>
      <c r="A446" t="s">
        <v>1541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>
      <c r="A447" t="s">
        <v>1542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>
      <c r="A448" t="s">
        <v>1543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33">
      <c r="A449" t="s">
        <v>1544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33">
      <c r="A450" t="s">
        <v>1545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33">
      <c r="A451" t="s">
        <v>1546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33">
      <c r="A452" t="s">
        <v>1547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</row>
    <row r="454" spans="1:33">
      <c r="B454" t="s">
        <v>1549</v>
      </c>
      <c r="C454">
        <v>2</v>
      </c>
      <c r="D454">
        <v>1</v>
      </c>
      <c r="E454">
        <v>1</v>
      </c>
    </row>
    <row r="455" spans="1:33">
      <c r="B455" t="s">
        <v>1508</v>
      </c>
    </row>
    <row r="456" spans="1:33">
      <c r="A456" t="s">
        <v>1550</v>
      </c>
      <c r="B456" t="str">
        <f>"DEFAULT"</f>
        <v>DEFAULT</v>
      </c>
    </row>
    <row r="457" spans="1:33">
      <c r="A457" t="s">
        <v>1551</v>
      </c>
      <c r="B457" t="str">
        <f>"OFF"</f>
        <v>OFF</v>
      </c>
    </row>
    <row r="459" spans="1:33">
      <c r="B459" t="s">
        <v>1552</v>
      </c>
      <c r="C459">
        <v>8</v>
      </c>
      <c r="D459">
        <v>32</v>
      </c>
      <c r="E459">
        <v>1</v>
      </c>
    </row>
    <row r="460" spans="1:33">
      <c r="B460" t="s">
        <v>1553</v>
      </c>
      <c r="C460" t="s">
        <v>1554</v>
      </c>
      <c r="D460" t="s">
        <v>1555</v>
      </c>
      <c r="E460" t="s">
        <v>1556</v>
      </c>
      <c r="F460" t="s">
        <v>1557</v>
      </c>
      <c r="G460" t="s">
        <v>1558</v>
      </c>
      <c r="H460" t="s">
        <v>1559</v>
      </c>
      <c r="I460" t="s">
        <v>1560</v>
      </c>
      <c r="J460" t="s">
        <v>1561</v>
      </c>
      <c r="K460" t="s">
        <v>1562</v>
      </c>
      <c r="L460" t="s">
        <v>1563</v>
      </c>
      <c r="M460" t="s">
        <v>1564</v>
      </c>
      <c r="N460" t="s">
        <v>1565</v>
      </c>
      <c r="O460" t="s">
        <v>1566</v>
      </c>
      <c r="P460" t="s">
        <v>1567</v>
      </c>
      <c r="Q460" t="s">
        <v>1568</v>
      </c>
      <c r="R460" t="s">
        <v>1569</v>
      </c>
      <c r="S460" t="s">
        <v>1570</v>
      </c>
      <c r="T460" t="s">
        <v>1571</v>
      </c>
      <c r="U460" t="s">
        <v>1572</v>
      </c>
      <c r="V460" t="s">
        <v>1573</v>
      </c>
      <c r="W460" t="s">
        <v>1574</v>
      </c>
      <c r="X460" t="s">
        <v>1575</v>
      </c>
      <c r="Y460" t="s">
        <v>1576</v>
      </c>
      <c r="Z460" t="s">
        <v>1577</v>
      </c>
      <c r="AA460" t="s">
        <v>1578</v>
      </c>
      <c r="AB460" t="s">
        <v>1579</v>
      </c>
      <c r="AC460" t="s">
        <v>1580</v>
      </c>
      <c r="AD460" t="s">
        <v>1581</v>
      </c>
      <c r="AE460" t="s">
        <v>1582</v>
      </c>
      <c r="AF460" t="s">
        <v>1583</v>
      </c>
      <c r="AG460" t="s">
        <v>1584</v>
      </c>
    </row>
    <row r="461" spans="1:33">
      <c r="A461" t="s">
        <v>1585</v>
      </c>
      <c r="B461" t="str">
        <f>"Off"</f>
        <v>Off</v>
      </c>
      <c r="C461" t="str">
        <f>"On"</f>
        <v>On</v>
      </c>
      <c r="D461" t="str">
        <f>"Off"</f>
        <v>Off</v>
      </c>
      <c r="E461" t="str">
        <f>"On"</f>
        <v>On</v>
      </c>
      <c r="F461" t="str">
        <f>"Off"</f>
        <v>Off</v>
      </c>
      <c r="G461" t="str">
        <f>"On"</f>
        <v>On</v>
      </c>
      <c r="H461" t="str">
        <f>"Off"</f>
        <v>Off</v>
      </c>
      <c r="I461" t="str">
        <f>"On"</f>
        <v>On</v>
      </c>
      <c r="J461" t="str">
        <f t="shared" ref="J461:AG461" si="129">"Off"</f>
        <v>Off</v>
      </c>
      <c r="K461" t="str">
        <f t="shared" si="129"/>
        <v>Off</v>
      </c>
      <c r="L461" t="str">
        <f t="shared" si="129"/>
        <v>Off</v>
      </c>
      <c r="M461" t="str">
        <f t="shared" si="129"/>
        <v>Off</v>
      </c>
      <c r="N461" t="str">
        <f t="shared" si="129"/>
        <v>Off</v>
      </c>
      <c r="O461" t="str">
        <f t="shared" si="129"/>
        <v>Off</v>
      </c>
      <c r="P461" t="str">
        <f t="shared" si="129"/>
        <v>Off</v>
      </c>
      <c r="Q461" t="str">
        <f t="shared" si="129"/>
        <v>Off</v>
      </c>
      <c r="R461" t="str">
        <f t="shared" si="129"/>
        <v>Off</v>
      </c>
      <c r="S461" t="str">
        <f t="shared" si="129"/>
        <v>Off</v>
      </c>
      <c r="T461" t="str">
        <f t="shared" si="129"/>
        <v>Off</v>
      </c>
      <c r="U461" t="str">
        <f t="shared" si="129"/>
        <v>Off</v>
      </c>
      <c r="V461" t="str">
        <f t="shared" si="129"/>
        <v>Off</v>
      </c>
      <c r="W461" t="str">
        <f t="shared" si="129"/>
        <v>Off</v>
      </c>
      <c r="X461" t="str">
        <f t="shared" si="129"/>
        <v>Off</v>
      </c>
      <c r="Y461" t="str">
        <f t="shared" si="129"/>
        <v>Off</v>
      </c>
      <c r="Z461" t="str">
        <f t="shared" si="129"/>
        <v>Off</v>
      </c>
      <c r="AA461" t="str">
        <f t="shared" si="129"/>
        <v>Off</v>
      </c>
      <c r="AB461" t="str">
        <f t="shared" si="129"/>
        <v>Off</v>
      </c>
      <c r="AC461" t="str">
        <f t="shared" si="129"/>
        <v>Off</v>
      </c>
      <c r="AD461" t="str">
        <f t="shared" si="129"/>
        <v>Off</v>
      </c>
      <c r="AE461" t="str">
        <f t="shared" si="129"/>
        <v>Off</v>
      </c>
      <c r="AF461" t="str">
        <f t="shared" si="129"/>
        <v>Off</v>
      </c>
      <c r="AG461" t="str">
        <f t="shared" si="129"/>
        <v>Off</v>
      </c>
    </row>
    <row r="462" spans="1:33">
      <c r="A462" t="s">
        <v>1586</v>
      </c>
      <c r="B462" t="str">
        <f t="shared" ref="B462:AG462" si="130">"+"</f>
        <v>+</v>
      </c>
      <c r="C462" t="str">
        <f t="shared" si="130"/>
        <v>+</v>
      </c>
      <c r="D462" t="str">
        <f t="shared" si="130"/>
        <v>+</v>
      </c>
      <c r="E462" t="str">
        <f t="shared" si="130"/>
        <v>+</v>
      </c>
      <c r="F462" t="str">
        <f t="shared" si="130"/>
        <v>+</v>
      </c>
      <c r="G462" t="str">
        <f t="shared" si="130"/>
        <v>+</v>
      </c>
      <c r="H462" t="str">
        <f t="shared" si="130"/>
        <v>+</v>
      </c>
      <c r="I462" t="str">
        <f t="shared" si="130"/>
        <v>+</v>
      </c>
      <c r="J462" t="str">
        <f t="shared" si="130"/>
        <v>+</v>
      </c>
      <c r="K462" t="str">
        <f t="shared" si="130"/>
        <v>+</v>
      </c>
      <c r="L462" t="str">
        <f t="shared" si="130"/>
        <v>+</v>
      </c>
      <c r="M462" t="str">
        <f t="shared" si="130"/>
        <v>+</v>
      </c>
      <c r="N462" t="str">
        <f t="shared" si="130"/>
        <v>+</v>
      </c>
      <c r="O462" t="str">
        <f t="shared" si="130"/>
        <v>+</v>
      </c>
      <c r="P462" t="str">
        <f t="shared" si="130"/>
        <v>+</v>
      </c>
      <c r="Q462" t="str">
        <f t="shared" si="130"/>
        <v>+</v>
      </c>
      <c r="R462" t="str">
        <f t="shared" si="130"/>
        <v>+</v>
      </c>
      <c r="S462" t="str">
        <f t="shared" si="130"/>
        <v>+</v>
      </c>
      <c r="T462" t="str">
        <f t="shared" si="130"/>
        <v>+</v>
      </c>
      <c r="U462" t="str">
        <f t="shared" si="130"/>
        <v>+</v>
      </c>
      <c r="V462" t="str">
        <f t="shared" si="130"/>
        <v>+</v>
      </c>
      <c r="W462" t="str">
        <f t="shared" si="130"/>
        <v>+</v>
      </c>
      <c r="X462" t="str">
        <f t="shared" si="130"/>
        <v>+</v>
      </c>
      <c r="Y462" t="str">
        <f t="shared" si="130"/>
        <v>+</v>
      </c>
      <c r="Z462" t="str">
        <f t="shared" si="130"/>
        <v>+</v>
      </c>
      <c r="AA462" t="str">
        <f t="shared" si="130"/>
        <v>+</v>
      </c>
      <c r="AB462" t="str">
        <f t="shared" si="130"/>
        <v>+</v>
      </c>
      <c r="AC462" t="str">
        <f t="shared" si="130"/>
        <v>+</v>
      </c>
      <c r="AD462" t="str">
        <f t="shared" si="130"/>
        <v>+</v>
      </c>
      <c r="AE462" t="str">
        <f t="shared" si="130"/>
        <v>+</v>
      </c>
      <c r="AF462" t="str">
        <f t="shared" si="130"/>
        <v>+</v>
      </c>
      <c r="AG462" t="str">
        <f t="shared" si="130"/>
        <v>+</v>
      </c>
    </row>
    <row r="463" spans="1:33">
      <c r="A463" t="s">
        <v>1587</v>
      </c>
      <c r="B463" t="str">
        <f t="shared" ref="B463:K465" si="131">"Off"</f>
        <v>Off</v>
      </c>
      <c r="C463" t="str">
        <f t="shared" si="131"/>
        <v>Off</v>
      </c>
      <c r="D463" t="str">
        <f t="shared" si="131"/>
        <v>Off</v>
      </c>
      <c r="E463" t="str">
        <f t="shared" si="131"/>
        <v>Off</v>
      </c>
      <c r="F463" t="str">
        <f t="shared" si="131"/>
        <v>Off</v>
      </c>
      <c r="G463" t="str">
        <f t="shared" si="131"/>
        <v>Off</v>
      </c>
      <c r="H463" t="str">
        <f t="shared" si="131"/>
        <v>Off</v>
      </c>
      <c r="I463" t="str">
        <f t="shared" si="131"/>
        <v>Off</v>
      </c>
      <c r="J463" t="str">
        <f t="shared" si="131"/>
        <v>Off</v>
      </c>
      <c r="K463" t="str">
        <f t="shared" si="131"/>
        <v>Off</v>
      </c>
      <c r="L463" t="str">
        <f t="shared" ref="L463:U465" si="132">"Off"</f>
        <v>Off</v>
      </c>
      <c r="M463" t="str">
        <f t="shared" si="132"/>
        <v>Off</v>
      </c>
      <c r="N463" t="str">
        <f t="shared" si="132"/>
        <v>Off</v>
      </c>
      <c r="O463" t="str">
        <f t="shared" si="132"/>
        <v>Off</v>
      </c>
      <c r="P463" t="str">
        <f t="shared" si="132"/>
        <v>Off</v>
      </c>
      <c r="Q463" t="str">
        <f t="shared" si="132"/>
        <v>Off</v>
      </c>
      <c r="R463" t="str">
        <f t="shared" si="132"/>
        <v>Off</v>
      </c>
      <c r="S463" t="str">
        <f t="shared" si="132"/>
        <v>Off</v>
      </c>
      <c r="T463" t="str">
        <f t="shared" si="132"/>
        <v>Off</v>
      </c>
      <c r="U463" t="str">
        <f t="shared" si="132"/>
        <v>Off</v>
      </c>
      <c r="V463" t="str">
        <f t="shared" ref="V463:AG465" si="133">"Off"</f>
        <v>Off</v>
      </c>
      <c r="W463" t="str">
        <f t="shared" si="133"/>
        <v>Off</v>
      </c>
      <c r="X463" t="str">
        <f t="shared" si="133"/>
        <v>Off</v>
      </c>
      <c r="Y463" t="str">
        <f t="shared" si="133"/>
        <v>Off</v>
      </c>
      <c r="Z463" t="str">
        <f t="shared" si="133"/>
        <v>Off</v>
      </c>
      <c r="AA463" t="str">
        <f t="shared" si="133"/>
        <v>Off</v>
      </c>
      <c r="AB463" t="str">
        <f t="shared" si="133"/>
        <v>Off</v>
      </c>
      <c r="AC463" t="str">
        <f t="shared" si="133"/>
        <v>Off</v>
      </c>
      <c r="AD463" t="str">
        <f t="shared" si="133"/>
        <v>Off</v>
      </c>
      <c r="AE463" t="str">
        <f t="shared" si="133"/>
        <v>Off</v>
      </c>
      <c r="AF463" t="str">
        <f t="shared" si="133"/>
        <v>Off</v>
      </c>
      <c r="AG463" t="str">
        <f t="shared" si="133"/>
        <v>Off</v>
      </c>
    </row>
    <row r="464" spans="1:33">
      <c r="A464" t="s">
        <v>1588</v>
      </c>
      <c r="B464" t="str">
        <f t="shared" si="131"/>
        <v>Off</v>
      </c>
      <c r="C464" t="str">
        <f t="shared" si="131"/>
        <v>Off</v>
      </c>
      <c r="D464" t="str">
        <f t="shared" si="131"/>
        <v>Off</v>
      </c>
      <c r="E464" t="str">
        <f t="shared" si="131"/>
        <v>Off</v>
      </c>
      <c r="F464" t="str">
        <f t="shared" si="131"/>
        <v>Off</v>
      </c>
      <c r="G464" t="str">
        <f t="shared" si="131"/>
        <v>Off</v>
      </c>
      <c r="H464" t="str">
        <f t="shared" si="131"/>
        <v>Off</v>
      </c>
      <c r="I464" t="str">
        <f t="shared" si="131"/>
        <v>Off</v>
      </c>
      <c r="J464" t="str">
        <f t="shared" si="131"/>
        <v>Off</v>
      </c>
      <c r="K464" t="str">
        <f t="shared" si="131"/>
        <v>Off</v>
      </c>
      <c r="L464" t="str">
        <f t="shared" si="132"/>
        <v>Off</v>
      </c>
      <c r="M464" t="str">
        <f t="shared" si="132"/>
        <v>Off</v>
      </c>
      <c r="N464" t="str">
        <f t="shared" si="132"/>
        <v>Off</v>
      </c>
      <c r="O464" t="str">
        <f t="shared" si="132"/>
        <v>Off</v>
      </c>
      <c r="P464" t="str">
        <f t="shared" si="132"/>
        <v>Off</v>
      </c>
      <c r="Q464" t="str">
        <f t="shared" si="132"/>
        <v>Off</v>
      </c>
      <c r="R464" t="str">
        <f t="shared" si="132"/>
        <v>Off</v>
      </c>
      <c r="S464" t="str">
        <f t="shared" si="132"/>
        <v>Off</v>
      </c>
      <c r="T464" t="str">
        <f t="shared" si="132"/>
        <v>Off</v>
      </c>
      <c r="U464" t="str">
        <f t="shared" si="132"/>
        <v>Off</v>
      </c>
      <c r="V464" t="str">
        <f t="shared" si="133"/>
        <v>Off</v>
      </c>
      <c r="W464" t="str">
        <f t="shared" si="133"/>
        <v>Off</v>
      </c>
      <c r="X464" t="str">
        <f t="shared" si="133"/>
        <v>Off</v>
      </c>
      <c r="Y464" t="str">
        <f t="shared" si="133"/>
        <v>Off</v>
      </c>
      <c r="Z464" t="str">
        <f t="shared" si="133"/>
        <v>Off</v>
      </c>
      <c r="AA464" t="str">
        <f t="shared" si="133"/>
        <v>Off</v>
      </c>
      <c r="AB464" t="str">
        <f t="shared" si="133"/>
        <v>Off</v>
      </c>
      <c r="AC464" t="str">
        <f t="shared" si="133"/>
        <v>Off</v>
      </c>
      <c r="AD464" t="str">
        <f t="shared" si="133"/>
        <v>Off</v>
      </c>
      <c r="AE464" t="str">
        <f t="shared" si="133"/>
        <v>Off</v>
      </c>
      <c r="AF464" t="str">
        <f t="shared" si="133"/>
        <v>Off</v>
      </c>
      <c r="AG464" t="str">
        <f t="shared" si="133"/>
        <v>Off</v>
      </c>
    </row>
    <row r="465" spans="1:33">
      <c r="A465" t="s">
        <v>1589</v>
      </c>
      <c r="B465" t="str">
        <f t="shared" si="131"/>
        <v>Off</v>
      </c>
      <c r="C465" t="str">
        <f t="shared" si="131"/>
        <v>Off</v>
      </c>
      <c r="D465" t="str">
        <f t="shared" si="131"/>
        <v>Off</v>
      </c>
      <c r="E465" t="str">
        <f t="shared" si="131"/>
        <v>Off</v>
      </c>
      <c r="F465" t="str">
        <f t="shared" si="131"/>
        <v>Off</v>
      </c>
      <c r="G465" t="str">
        <f t="shared" si="131"/>
        <v>Off</v>
      </c>
      <c r="H465" t="str">
        <f t="shared" si="131"/>
        <v>Off</v>
      </c>
      <c r="I465" t="str">
        <f t="shared" si="131"/>
        <v>Off</v>
      </c>
      <c r="J465" t="str">
        <f t="shared" si="131"/>
        <v>Off</v>
      </c>
      <c r="K465" t="str">
        <f t="shared" si="131"/>
        <v>Off</v>
      </c>
      <c r="L465" t="str">
        <f t="shared" si="132"/>
        <v>Off</v>
      </c>
      <c r="M465" t="str">
        <f t="shared" si="132"/>
        <v>Off</v>
      </c>
      <c r="N465" t="str">
        <f t="shared" si="132"/>
        <v>Off</v>
      </c>
      <c r="O465" t="str">
        <f t="shared" si="132"/>
        <v>Off</v>
      </c>
      <c r="P465" t="str">
        <f t="shared" si="132"/>
        <v>Off</v>
      </c>
      <c r="Q465" t="str">
        <f t="shared" si="132"/>
        <v>Off</v>
      </c>
      <c r="R465" t="str">
        <f t="shared" si="132"/>
        <v>Off</v>
      </c>
      <c r="S465" t="str">
        <f t="shared" si="132"/>
        <v>Off</v>
      </c>
      <c r="T465" t="str">
        <f t="shared" si="132"/>
        <v>Off</v>
      </c>
      <c r="U465" t="str">
        <f t="shared" si="132"/>
        <v>Off</v>
      </c>
      <c r="V465" t="str">
        <f t="shared" si="133"/>
        <v>Off</v>
      </c>
      <c r="W465" t="str">
        <f t="shared" si="133"/>
        <v>Off</v>
      </c>
      <c r="X465" t="str">
        <f t="shared" si="133"/>
        <v>Off</v>
      </c>
      <c r="Y465" t="str">
        <f t="shared" si="133"/>
        <v>Off</v>
      </c>
      <c r="Z465" t="str">
        <f t="shared" si="133"/>
        <v>Off</v>
      </c>
      <c r="AA465" t="str">
        <f t="shared" si="133"/>
        <v>Off</v>
      </c>
      <c r="AB465" t="str">
        <f t="shared" si="133"/>
        <v>Off</v>
      </c>
      <c r="AC465" t="str">
        <f t="shared" si="133"/>
        <v>Off</v>
      </c>
      <c r="AD465" t="str">
        <f t="shared" si="133"/>
        <v>Off</v>
      </c>
      <c r="AE465" t="str">
        <f t="shared" si="133"/>
        <v>Off</v>
      </c>
      <c r="AF465" t="str">
        <f t="shared" si="133"/>
        <v>Off</v>
      </c>
      <c r="AG465" t="str">
        <f t="shared" si="133"/>
        <v>Off</v>
      </c>
    </row>
    <row r="466" spans="1:33">
      <c r="A466" t="s">
        <v>61</v>
      </c>
      <c r="B466" t="str">
        <f t="shared" ref="B466:M466" si="134">"RED"</f>
        <v>RED</v>
      </c>
      <c r="C466" t="str">
        <f t="shared" si="134"/>
        <v>RED</v>
      </c>
      <c r="D466" t="str">
        <f t="shared" si="134"/>
        <v>RED</v>
      </c>
      <c r="E466" t="str">
        <f t="shared" si="134"/>
        <v>RED</v>
      </c>
      <c r="F466" t="str">
        <f t="shared" si="134"/>
        <v>RED</v>
      </c>
      <c r="G466" t="str">
        <f t="shared" si="134"/>
        <v>RED</v>
      </c>
      <c r="H466" t="str">
        <f t="shared" si="134"/>
        <v>RED</v>
      </c>
      <c r="I466" t="str">
        <f t="shared" si="134"/>
        <v>RED</v>
      </c>
      <c r="J466" t="str">
        <f t="shared" si="134"/>
        <v>RED</v>
      </c>
      <c r="K466" t="str">
        <f t="shared" si="134"/>
        <v>RED</v>
      </c>
      <c r="L466" t="str">
        <f t="shared" si="134"/>
        <v>RED</v>
      </c>
      <c r="M466" t="str">
        <f t="shared" si="134"/>
        <v>RED</v>
      </c>
      <c r="N466" t="str">
        <f t="shared" ref="N466:AG466" si="135">"DRK"</f>
        <v>DRK</v>
      </c>
      <c r="O466" t="str">
        <f t="shared" si="135"/>
        <v>DRK</v>
      </c>
      <c r="P466" t="str">
        <f t="shared" si="135"/>
        <v>DRK</v>
      </c>
      <c r="Q466" t="str">
        <f t="shared" si="135"/>
        <v>DRK</v>
      </c>
      <c r="R466" t="str">
        <f t="shared" si="135"/>
        <v>DRK</v>
      </c>
      <c r="S466" t="str">
        <f t="shared" si="135"/>
        <v>DRK</v>
      </c>
      <c r="T466" t="str">
        <f t="shared" si="135"/>
        <v>DRK</v>
      </c>
      <c r="U466" t="str">
        <f t="shared" si="135"/>
        <v>DRK</v>
      </c>
      <c r="V466" t="str">
        <f t="shared" si="135"/>
        <v>DRK</v>
      </c>
      <c r="W466" t="str">
        <f t="shared" si="135"/>
        <v>DRK</v>
      </c>
      <c r="X466" t="str">
        <f t="shared" si="135"/>
        <v>DRK</v>
      </c>
      <c r="Y466" t="str">
        <f t="shared" si="135"/>
        <v>DRK</v>
      </c>
      <c r="Z466" t="str">
        <f t="shared" si="135"/>
        <v>DRK</v>
      </c>
      <c r="AA466" t="str">
        <f t="shared" si="135"/>
        <v>DRK</v>
      </c>
      <c r="AB466" t="str">
        <f t="shared" si="135"/>
        <v>DRK</v>
      </c>
      <c r="AC466" t="str">
        <f t="shared" si="135"/>
        <v>DRK</v>
      </c>
      <c r="AD466" t="str">
        <f t="shared" si="135"/>
        <v>DRK</v>
      </c>
      <c r="AE466" t="str">
        <f t="shared" si="135"/>
        <v>DRK</v>
      </c>
      <c r="AF466" t="str">
        <f t="shared" si="135"/>
        <v>DRK</v>
      </c>
      <c r="AG466" t="str">
        <f t="shared" si="135"/>
        <v>DRK</v>
      </c>
    </row>
    <row r="467" spans="1:33">
      <c r="A467" t="s">
        <v>1590</v>
      </c>
      <c r="B467">
        <v>1</v>
      </c>
      <c r="C467">
        <v>2</v>
      </c>
      <c r="D467">
        <v>3</v>
      </c>
      <c r="E467">
        <v>4</v>
      </c>
      <c r="F467">
        <v>5</v>
      </c>
      <c r="G467">
        <v>6</v>
      </c>
      <c r="H467">
        <v>7</v>
      </c>
      <c r="I467">
        <v>8</v>
      </c>
      <c r="J467">
        <v>1</v>
      </c>
      <c r="K467">
        <v>2</v>
      </c>
      <c r="L467">
        <v>3</v>
      </c>
      <c r="M467">
        <v>4</v>
      </c>
      <c r="N467">
        <v>2</v>
      </c>
      <c r="O467">
        <v>4</v>
      </c>
      <c r="P467">
        <v>6</v>
      </c>
      <c r="Q467">
        <v>8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</row>
    <row r="468" spans="1:33">
      <c r="A468" t="s">
        <v>49</v>
      </c>
      <c r="B468" t="str">
        <f t="shared" ref="B468:I468" si="136">"VEH"</f>
        <v>VEH</v>
      </c>
      <c r="C468" t="str">
        <f t="shared" si="136"/>
        <v>VEH</v>
      </c>
      <c r="D468" t="str">
        <f t="shared" si="136"/>
        <v>VEH</v>
      </c>
      <c r="E468" t="str">
        <f t="shared" si="136"/>
        <v>VEH</v>
      </c>
      <c r="F468" t="str">
        <f t="shared" si="136"/>
        <v>VEH</v>
      </c>
      <c r="G468" t="str">
        <f t="shared" si="136"/>
        <v>VEH</v>
      </c>
      <c r="H468" t="str">
        <f t="shared" si="136"/>
        <v>VEH</v>
      </c>
      <c r="I468" t="str">
        <f t="shared" si="136"/>
        <v>VEH</v>
      </c>
      <c r="J468" t="str">
        <f>"OLP"</f>
        <v>OLP</v>
      </c>
      <c r="K468" t="str">
        <f>"OLP"</f>
        <v>OLP</v>
      </c>
      <c r="L468" t="str">
        <f>"OLP"</f>
        <v>OLP</v>
      </c>
      <c r="M468" t="str">
        <f>"OLP"</f>
        <v>OLP</v>
      </c>
      <c r="N468" t="str">
        <f>"PED"</f>
        <v>PED</v>
      </c>
      <c r="O468" t="str">
        <f>"PED"</f>
        <v>PED</v>
      </c>
      <c r="P468" t="str">
        <f>"PED"</f>
        <v>PED</v>
      </c>
      <c r="Q468" t="str">
        <f>"PED"</f>
        <v>PED</v>
      </c>
      <c r="R468" t="str">
        <f t="shared" ref="R468:Y468" si="137">"VEH"</f>
        <v>VEH</v>
      </c>
      <c r="S468" t="str">
        <f t="shared" si="137"/>
        <v>VEH</v>
      </c>
      <c r="T468" t="str">
        <f t="shared" si="137"/>
        <v>VEH</v>
      </c>
      <c r="U468" t="str">
        <f t="shared" si="137"/>
        <v>VEH</v>
      </c>
      <c r="V468" t="str">
        <f t="shared" si="137"/>
        <v>VEH</v>
      </c>
      <c r="W468" t="str">
        <f t="shared" si="137"/>
        <v>VEH</v>
      </c>
      <c r="X468" t="str">
        <f t="shared" si="137"/>
        <v>VEH</v>
      </c>
      <c r="Y468" t="str">
        <f t="shared" si="137"/>
        <v>VEH</v>
      </c>
      <c r="Z468" t="str">
        <f t="shared" ref="Z468:AG468" si="138">"OFF"</f>
        <v>OFF</v>
      </c>
      <c r="AA468" t="str">
        <f t="shared" si="138"/>
        <v>OFF</v>
      </c>
      <c r="AB468" t="str">
        <f t="shared" si="138"/>
        <v>OFF</v>
      </c>
      <c r="AC468" t="str">
        <f t="shared" si="138"/>
        <v>OFF</v>
      </c>
      <c r="AD468" t="str">
        <f t="shared" si="138"/>
        <v>OFF</v>
      </c>
      <c r="AE468" t="str">
        <f t="shared" si="138"/>
        <v>OFF</v>
      </c>
      <c r="AF468" t="str">
        <f t="shared" si="138"/>
        <v>OFF</v>
      </c>
      <c r="AG468" t="str">
        <f t="shared" si="138"/>
        <v>OFF</v>
      </c>
    </row>
    <row r="470" spans="1:33">
      <c r="B470" t="s">
        <v>1591</v>
      </c>
      <c r="C470">
        <v>7</v>
      </c>
      <c r="D470">
        <v>32</v>
      </c>
      <c r="E470">
        <v>1</v>
      </c>
    </row>
    <row r="471" spans="1:33">
      <c r="B471" t="s">
        <v>1553</v>
      </c>
      <c r="C471" t="s">
        <v>1554</v>
      </c>
      <c r="D471" t="s">
        <v>1555</v>
      </c>
      <c r="E471" t="s">
        <v>1556</v>
      </c>
      <c r="F471" t="s">
        <v>1557</v>
      </c>
      <c r="G471" t="s">
        <v>1558</v>
      </c>
      <c r="H471" t="s">
        <v>1559</v>
      </c>
      <c r="I471" t="s">
        <v>1560</v>
      </c>
      <c r="J471" t="s">
        <v>1561</v>
      </c>
      <c r="K471" t="s">
        <v>1562</v>
      </c>
      <c r="L471" t="s">
        <v>1563</v>
      </c>
      <c r="M471" t="s">
        <v>1564</v>
      </c>
      <c r="N471" t="s">
        <v>1565</v>
      </c>
      <c r="O471" t="s">
        <v>1566</v>
      </c>
      <c r="P471" t="s">
        <v>1567</v>
      </c>
      <c r="Q471" t="s">
        <v>1568</v>
      </c>
      <c r="R471" t="s">
        <v>1569</v>
      </c>
      <c r="S471" t="s">
        <v>1570</v>
      </c>
      <c r="T471" t="s">
        <v>1571</v>
      </c>
      <c r="U471" t="s">
        <v>1572</v>
      </c>
      <c r="V471" t="s">
        <v>1573</v>
      </c>
      <c r="W471" t="s">
        <v>1574</v>
      </c>
      <c r="X471" t="s">
        <v>1575</v>
      </c>
      <c r="Y471" t="s">
        <v>1576</v>
      </c>
      <c r="Z471" t="s">
        <v>1577</v>
      </c>
      <c r="AA471" t="s">
        <v>1578</v>
      </c>
      <c r="AB471" t="s">
        <v>1579</v>
      </c>
      <c r="AC471" t="s">
        <v>1580</v>
      </c>
      <c r="AD471" t="s">
        <v>1581</v>
      </c>
      <c r="AE471" t="s">
        <v>1582</v>
      </c>
      <c r="AF471" t="s">
        <v>1583</v>
      </c>
      <c r="AG471" t="s">
        <v>1584</v>
      </c>
    </row>
    <row r="472" spans="1:33">
      <c r="A472" t="s">
        <v>1592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>
      <c r="A473" t="s">
        <v>1593</v>
      </c>
      <c r="B473" t="str">
        <f t="shared" ref="B473:K476" si="139">"Off"</f>
        <v>Off</v>
      </c>
      <c r="C473" t="str">
        <f t="shared" si="139"/>
        <v>Off</v>
      </c>
      <c r="D473" t="str">
        <f t="shared" si="139"/>
        <v>Off</v>
      </c>
      <c r="E473" t="str">
        <f t="shared" si="139"/>
        <v>Off</v>
      </c>
      <c r="F473" t="str">
        <f t="shared" si="139"/>
        <v>Off</v>
      </c>
      <c r="G473" t="str">
        <f t="shared" si="139"/>
        <v>Off</v>
      </c>
      <c r="H473" t="str">
        <f t="shared" si="139"/>
        <v>Off</v>
      </c>
      <c r="I473" t="str">
        <f t="shared" si="139"/>
        <v>Off</v>
      </c>
      <c r="J473" t="str">
        <f t="shared" si="139"/>
        <v>Off</v>
      </c>
      <c r="K473" t="str">
        <f t="shared" si="139"/>
        <v>Off</v>
      </c>
      <c r="L473" t="str">
        <f t="shared" ref="L473:U476" si="140">"Off"</f>
        <v>Off</v>
      </c>
      <c r="M473" t="str">
        <f t="shared" si="140"/>
        <v>Off</v>
      </c>
      <c r="N473" t="str">
        <f t="shared" si="140"/>
        <v>Off</v>
      </c>
      <c r="O473" t="str">
        <f t="shared" si="140"/>
        <v>Off</v>
      </c>
      <c r="P473" t="str">
        <f t="shared" si="140"/>
        <v>Off</v>
      </c>
      <c r="Q473" t="str">
        <f t="shared" si="140"/>
        <v>Off</v>
      </c>
      <c r="R473" t="str">
        <f t="shared" si="140"/>
        <v>Off</v>
      </c>
      <c r="S473" t="str">
        <f t="shared" si="140"/>
        <v>Off</v>
      </c>
      <c r="T473" t="str">
        <f t="shared" si="140"/>
        <v>Off</v>
      </c>
      <c r="U473" t="str">
        <f t="shared" si="140"/>
        <v>Off</v>
      </c>
      <c r="V473" t="str">
        <f t="shared" ref="V473:AG476" si="141">"Off"</f>
        <v>Off</v>
      </c>
      <c r="W473" t="str">
        <f t="shared" si="141"/>
        <v>Off</v>
      </c>
      <c r="X473" t="str">
        <f t="shared" si="141"/>
        <v>Off</v>
      </c>
      <c r="Y473" t="str">
        <f t="shared" si="141"/>
        <v>Off</v>
      </c>
      <c r="Z473" t="str">
        <f t="shared" si="141"/>
        <v>Off</v>
      </c>
      <c r="AA473" t="str">
        <f t="shared" si="141"/>
        <v>Off</v>
      </c>
      <c r="AB473" t="str">
        <f t="shared" si="141"/>
        <v>Off</v>
      </c>
      <c r="AC473" t="str">
        <f t="shared" si="141"/>
        <v>Off</v>
      </c>
      <c r="AD473" t="str">
        <f t="shared" si="141"/>
        <v>Off</v>
      </c>
      <c r="AE473" t="str">
        <f t="shared" si="141"/>
        <v>Off</v>
      </c>
      <c r="AF473" t="str">
        <f t="shared" si="141"/>
        <v>Off</v>
      </c>
      <c r="AG473" t="str">
        <f t="shared" si="141"/>
        <v>Off</v>
      </c>
    </row>
    <row r="474" spans="1:33">
      <c r="A474" t="s">
        <v>770</v>
      </c>
      <c r="B474" t="str">
        <f t="shared" si="139"/>
        <v>Off</v>
      </c>
      <c r="C474" t="str">
        <f t="shared" si="139"/>
        <v>Off</v>
      </c>
      <c r="D474" t="str">
        <f t="shared" si="139"/>
        <v>Off</v>
      </c>
      <c r="E474" t="str">
        <f t="shared" si="139"/>
        <v>Off</v>
      </c>
      <c r="F474" t="str">
        <f t="shared" si="139"/>
        <v>Off</v>
      </c>
      <c r="G474" t="str">
        <f t="shared" si="139"/>
        <v>Off</v>
      </c>
      <c r="H474" t="str">
        <f t="shared" si="139"/>
        <v>Off</v>
      </c>
      <c r="I474" t="str">
        <f t="shared" si="139"/>
        <v>Off</v>
      </c>
      <c r="J474" t="str">
        <f t="shared" si="139"/>
        <v>Off</v>
      </c>
      <c r="K474" t="str">
        <f t="shared" si="139"/>
        <v>Off</v>
      </c>
      <c r="L474" t="str">
        <f t="shared" si="140"/>
        <v>Off</v>
      </c>
      <c r="M474" t="str">
        <f t="shared" si="140"/>
        <v>Off</v>
      </c>
      <c r="N474" t="str">
        <f t="shared" si="140"/>
        <v>Off</v>
      </c>
      <c r="O474" t="str">
        <f t="shared" si="140"/>
        <v>Off</v>
      </c>
      <c r="P474" t="str">
        <f t="shared" si="140"/>
        <v>Off</v>
      </c>
      <c r="Q474" t="str">
        <f t="shared" si="140"/>
        <v>Off</v>
      </c>
      <c r="R474" t="str">
        <f t="shared" si="140"/>
        <v>Off</v>
      </c>
      <c r="S474" t="str">
        <f t="shared" si="140"/>
        <v>Off</v>
      </c>
      <c r="T474" t="str">
        <f t="shared" si="140"/>
        <v>Off</v>
      </c>
      <c r="U474" t="str">
        <f t="shared" si="140"/>
        <v>Off</v>
      </c>
      <c r="V474" t="str">
        <f t="shared" si="141"/>
        <v>Off</v>
      </c>
      <c r="W474" t="str">
        <f t="shared" si="141"/>
        <v>Off</v>
      </c>
      <c r="X474" t="str">
        <f t="shared" si="141"/>
        <v>Off</v>
      </c>
      <c r="Y474" t="str">
        <f t="shared" si="141"/>
        <v>Off</v>
      </c>
      <c r="Z474" t="str">
        <f t="shared" si="141"/>
        <v>Off</v>
      </c>
      <c r="AA474" t="str">
        <f t="shared" si="141"/>
        <v>Off</v>
      </c>
      <c r="AB474" t="str">
        <f t="shared" si="141"/>
        <v>Off</v>
      </c>
      <c r="AC474" t="str">
        <f t="shared" si="141"/>
        <v>Off</v>
      </c>
      <c r="AD474" t="str">
        <f t="shared" si="141"/>
        <v>Off</v>
      </c>
      <c r="AE474" t="str">
        <f t="shared" si="141"/>
        <v>Off</v>
      </c>
      <c r="AF474" t="str">
        <f t="shared" si="141"/>
        <v>Off</v>
      </c>
      <c r="AG474" t="str">
        <f t="shared" si="141"/>
        <v>Off</v>
      </c>
    </row>
    <row r="475" spans="1:33">
      <c r="A475" t="s">
        <v>771</v>
      </c>
      <c r="B475" t="str">
        <f t="shared" si="139"/>
        <v>Off</v>
      </c>
      <c r="C475" t="str">
        <f t="shared" si="139"/>
        <v>Off</v>
      </c>
      <c r="D475" t="str">
        <f t="shared" si="139"/>
        <v>Off</v>
      </c>
      <c r="E475" t="str">
        <f t="shared" si="139"/>
        <v>Off</v>
      </c>
      <c r="F475" t="str">
        <f t="shared" si="139"/>
        <v>Off</v>
      </c>
      <c r="G475" t="str">
        <f t="shared" si="139"/>
        <v>Off</v>
      </c>
      <c r="H475" t="str">
        <f t="shared" si="139"/>
        <v>Off</v>
      </c>
      <c r="I475" t="str">
        <f t="shared" si="139"/>
        <v>Off</v>
      </c>
      <c r="J475" t="str">
        <f t="shared" si="139"/>
        <v>Off</v>
      </c>
      <c r="K475" t="str">
        <f t="shared" si="139"/>
        <v>Off</v>
      </c>
      <c r="L475" t="str">
        <f t="shared" si="140"/>
        <v>Off</v>
      </c>
      <c r="M475" t="str">
        <f t="shared" si="140"/>
        <v>Off</v>
      </c>
      <c r="N475" t="str">
        <f t="shared" si="140"/>
        <v>Off</v>
      </c>
      <c r="O475" t="str">
        <f t="shared" si="140"/>
        <v>Off</v>
      </c>
      <c r="P475" t="str">
        <f t="shared" si="140"/>
        <v>Off</v>
      </c>
      <c r="Q475" t="str">
        <f t="shared" si="140"/>
        <v>Off</v>
      </c>
      <c r="R475" t="str">
        <f t="shared" si="140"/>
        <v>Off</v>
      </c>
      <c r="S475" t="str">
        <f t="shared" si="140"/>
        <v>Off</v>
      </c>
      <c r="T475" t="str">
        <f t="shared" si="140"/>
        <v>Off</v>
      </c>
      <c r="U475" t="str">
        <f t="shared" si="140"/>
        <v>Off</v>
      </c>
      <c r="V475" t="str">
        <f t="shared" si="141"/>
        <v>Off</v>
      </c>
      <c r="W475" t="str">
        <f t="shared" si="141"/>
        <v>Off</v>
      </c>
      <c r="X475" t="str">
        <f t="shared" si="141"/>
        <v>Off</v>
      </c>
      <c r="Y475" t="str">
        <f t="shared" si="141"/>
        <v>Off</v>
      </c>
      <c r="Z475" t="str">
        <f t="shared" si="141"/>
        <v>Off</v>
      </c>
      <c r="AA475" t="str">
        <f t="shared" si="141"/>
        <v>Off</v>
      </c>
      <c r="AB475" t="str">
        <f t="shared" si="141"/>
        <v>Off</v>
      </c>
      <c r="AC475" t="str">
        <f t="shared" si="141"/>
        <v>Off</v>
      </c>
      <c r="AD475" t="str">
        <f t="shared" si="141"/>
        <v>Off</v>
      </c>
      <c r="AE475" t="str">
        <f t="shared" si="141"/>
        <v>Off</v>
      </c>
      <c r="AF475" t="str">
        <f t="shared" si="141"/>
        <v>Off</v>
      </c>
      <c r="AG475" t="str">
        <f t="shared" si="141"/>
        <v>Off</v>
      </c>
    </row>
    <row r="476" spans="1:33">
      <c r="A476" t="s">
        <v>1594</v>
      </c>
      <c r="B476" t="str">
        <f t="shared" si="139"/>
        <v>Off</v>
      </c>
      <c r="C476" t="str">
        <f t="shared" si="139"/>
        <v>Off</v>
      </c>
      <c r="D476" t="str">
        <f t="shared" si="139"/>
        <v>Off</v>
      </c>
      <c r="E476" t="str">
        <f t="shared" si="139"/>
        <v>Off</v>
      </c>
      <c r="F476" t="str">
        <f t="shared" si="139"/>
        <v>Off</v>
      </c>
      <c r="G476" t="str">
        <f t="shared" si="139"/>
        <v>Off</v>
      </c>
      <c r="H476" t="str">
        <f t="shared" si="139"/>
        <v>Off</v>
      </c>
      <c r="I476" t="str">
        <f t="shared" si="139"/>
        <v>Off</v>
      </c>
      <c r="J476" t="str">
        <f t="shared" si="139"/>
        <v>Off</v>
      </c>
      <c r="K476" t="str">
        <f t="shared" si="139"/>
        <v>Off</v>
      </c>
      <c r="L476" t="str">
        <f t="shared" si="140"/>
        <v>Off</v>
      </c>
      <c r="M476" t="str">
        <f t="shared" si="140"/>
        <v>Off</v>
      </c>
      <c r="N476" t="str">
        <f t="shared" si="140"/>
        <v>Off</v>
      </c>
      <c r="O476" t="str">
        <f t="shared" si="140"/>
        <v>Off</v>
      </c>
      <c r="P476" t="str">
        <f t="shared" si="140"/>
        <v>Off</v>
      </c>
      <c r="Q476" t="str">
        <f t="shared" si="140"/>
        <v>Off</v>
      </c>
      <c r="R476" t="str">
        <f t="shared" si="140"/>
        <v>Off</v>
      </c>
      <c r="S476" t="str">
        <f t="shared" si="140"/>
        <v>Off</v>
      </c>
      <c r="T476" t="str">
        <f t="shared" si="140"/>
        <v>Off</v>
      </c>
      <c r="U476" t="str">
        <f t="shared" si="140"/>
        <v>Off</v>
      </c>
      <c r="V476" t="str">
        <f t="shared" si="141"/>
        <v>Off</v>
      </c>
      <c r="W476" t="str">
        <f t="shared" si="141"/>
        <v>Off</v>
      </c>
      <c r="X476" t="str">
        <f t="shared" si="141"/>
        <v>Off</v>
      </c>
      <c r="Y476" t="str">
        <f t="shared" si="141"/>
        <v>Off</v>
      </c>
      <c r="Z476" t="str">
        <f t="shared" si="141"/>
        <v>Off</v>
      </c>
      <c r="AA476" t="str">
        <f t="shared" si="141"/>
        <v>Off</v>
      </c>
      <c r="AB476" t="str">
        <f t="shared" si="141"/>
        <v>Off</v>
      </c>
      <c r="AC476" t="str">
        <f t="shared" si="141"/>
        <v>Off</v>
      </c>
      <c r="AD476" t="str">
        <f t="shared" si="141"/>
        <v>Off</v>
      </c>
      <c r="AE476" t="str">
        <f t="shared" si="141"/>
        <v>Off</v>
      </c>
      <c r="AF476" t="str">
        <f t="shared" si="141"/>
        <v>Off</v>
      </c>
      <c r="AG476" t="str">
        <f t="shared" si="141"/>
        <v>Off</v>
      </c>
    </row>
    <row r="477" spans="1:33">
      <c r="A477" t="s">
        <v>999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>
      <c r="A478" t="s">
        <v>1595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</row>
    <row r="480" spans="1:33">
      <c r="B480" t="s">
        <v>1596</v>
      </c>
      <c r="C480">
        <v>9</v>
      </c>
      <c r="D480">
        <v>1</v>
      </c>
      <c r="E480">
        <v>1</v>
      </c>
    </row>
    <row r="481" spans="1:33">
      <c r="B481" t="s">
        <v>1508</v>
      </c>
    </row>
    <row r="482" spans="1:33">
      <c r="A482" t="s">
        <v>1597</v>
      </c>
      <c r="B482">
        <v>0</v>
      </c>
    </row>
    <row r="483" spans="1:33">
      <c r="A483" t="s">
        <v>1598</v>
      </c>
      <c r="B483" t="str">
        <f>"STOPTM"</f>
        <v>STOPTM</v>
      </c>
    </row>
    <row r="484" spans="1:33">
      <c r="A484" t="s">
        <v>1599</v>
      </c>
      <c r="B484" t="str">
        <f>"OFF"</f>
        <v>OFF</v>
      </c>
    </row>
    <row r="485" spans="1:33">
      <c r="A485" t="s">
        <v>168</v>
      </c>
      <c r="B485">
        <v>60</v>
      </c>
    </row>
    <row r="486" spans="1:33">
      <c r="A486" t="s">
        <v>1600</v>
      </c>
      <c r="B486" t="str">
        <f>"OFF"</f>
        <v>OFF</v>
      </c>
    </row>
    <row r="487" spans="1:33">
      <c r="A487" t="s">
        <v>1601</v>
      </c>
      <c r="B487" t="str">
        <f>"OFF"</f>
        <v>OFF</v>
      </c>
    </row>
    <row r="488" spans="1:33">
      <c r="A488" t="s">
        <v>1064</v>
      </c>
      <c r="B488">
        <v>8</v>
      </c>
    </row>
    <row r="489" spans="1:33">
      <c r="A489" t="s">
        <v>1602</v>
      </c>
      <c r="B489">
        <v>0</v>
      </c>
    </row>
    <row r="490" spans="1:33">
      <c r="A490" t="s">
        <v>134</v>
      </c>
      <c r="B490" t="str">
        <f>"ON"</f>
        <v>ON</v>
      </c>
    </row>
    <row r="492" spans="1:33">
      <c r="B492" t="s">
        <v>1603</v>
      </c>
      <c r="C492">
        <v>2</v>
      </c>
      <c r="D492">
        <v>32</v>
      </c>
      <c r="E492">
        <v>1</v>
      </c>
    </row>
    <row r="493" spans="1:33">
      <c r="B493" t="s">
        <v>1604</v>
      </c>
      <c r="C493" t="s">
        <v>1605</v>
      </c>
      <c r="D493" t="s">
        <v>1606</v>
      </c>
      <c r="E493" t="s">
        <v>1607</v>
      </c>
      <c r="F493" t="s">
        <v>1608</v>
      </c>
      <c r="G493" t="s">
        <v>1609</v>
      </c>
      <c r="H493" t="s">
        <v>1610</v>
      </c>
      <c r="I493" t="s">
        <v>1611</v>
      </c>
      <c r="J493" t="s">
        <v>1612</v>
      </c>
      <c r="K493" t="s">
        <v>1613</v>
      </c>
      <c r="L493" t="s">
        <v>1614</v>
      </c>
      <c r="M493" t="s">
        <v>1615</v>
      </c>
      <c r="N493" t="s">
        <v>1616</v>
      </c>
      <c r="O493" t="s">
        <v>1617</v>
      </c>
      <c r="P493" t="s">
        <v>1618</v>
      </c>
      <c r="Q493" t="s">
        <v>1619</v>
      </c>
      <c r="R493" t="s">
        <v>1620</v>
      </c>
      <c r="S493" t="s">
        <v>1621</v>
      </c>
      <c r="T493" t="s">
        <v>1622</v>
      </c>
      <c r="U493" t="s">
        <v>1623</v>
      </c>
      <c r="V493" t="s">
        <v>1624</v>
      </c>
      <c r="W493" t="s">
        <v>1625</v>
      </c>
      <c r="X493" t="s">
        <v>1626</v>
      </c>
      <c r="Y493" t="s">
        <v>1627</v>
      </c>
      <c r="Z493" t="s">
        <v>1628</v>
      </c>
      <c r="AA493" t="s">
        <v>1629</v>
      </c>
      <c r="AB493" t="s">
        <v>1630</v>
      </c>
      <c r="AC493" t="s">
        <v>1631</v>
      </c>
      <c r="AD493" t="s">
        <v>1632</v>
      </c>
      <c r="AE493" t="s">
        <v>1633</v>
      </c>
      <c r="AF493" t="s">
        <v>1634</v>
      </c>
      <c r="AG493" t="s">
        <v>1635</v>
      </c>
    </row>
    <row r="494" spans="1:33">
      <c r="A494" t="s">
        <v>16</v>
      </c>
      <c r="B494">
        <v>1</v>
      </c>
      <c r="C494">
        <v>1</v>
      </c>
      <c r="D494">
        <v>1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1</v>
      </c>
      <c r="K494">
        <v>1</v>
      </c>
      <c r="L494">
        <v>1</v>
      </c>
      <c r="M494">
        <v>1</v>
      </c>
      <c r="N494">
        <v>1</v>
      </c>
      <c r="O494">
        <v>1</v>
      </c>
      <c r="P494">
        <v>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>
        <v>1</v>
      </c>
      <c r="AF494">
        <v>1</v>
      </c>
      <c r="AG494">
        <v>1</v>
      </c>
    </row>
    <row r="495" spans="1:33">
      <c r="A495" t="s">
        <v>6</v>
      </c>
      <c r="B495">
        <v>1</v>
      </c>
      <c r="C495">
        <v>1</v>
      </c>
      <c r="D495">
        <v>1</v>
      </c>
      <c r="E495">
        <v>1</v>
      </c>
      <c r="F495">
        <v>1</v>
      </c>
      <c r="G495">
        <v>1</v>
      </c>
      <c r="H495">
        <v>1</v>
      </c>
      <c r="I495">
        <v>1</v>
      </c>
      <c r="J495">
        <v>1</v>
      </c>
      <c r="K495">
        <v>1</v>
      </c>
      <c r="L495">
        <v>1</v>
      </c>
      <c r="M495">
        <v>1</v>
      </c>
      <c r="N495">
        <v>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>
        <v>1</v>
      </c>
      <c r="AF495">
        <v>1</v>
      </c>
      <c r="AG495">
        <v>1</v>
      </c>
    </row>
    <row r="497" spans="1:5">
      <c r="B497" t="s">
        <v>1636</v>
      </c>
      <c r="C497">
        <v>4</v>
      </c>
      <c r="D497">
        <v>1</v>
      </c>
      <c r="E497">
        <v>1</v>
      </c>
    </row>
    <row r="498" spans="1:5">
      <c r="B498" t="s">
        <v>1508</v>
      </c>
    </row>
    <row r="499" spans="1:5">
      <c r="A499" t="s">
        <v>1637</v>
      </c>
      <c r="B499" t="str">
        <f>"SHRT/LNG"</f>
        <v>SHRT/LNG</v>
      </c>
    </row>
    <row r="500" spans="1:5">
      <c r="A500" t="s">
        <v>11</v>
      </c>
      <c r="B500" t="str">
        <f>"FIXED"</f>
        <v>FIXED</v>
      </c>
    </row>
    <row r="501" spans="1:5">
      <c r="A501" t="s">
        <v>1638</v>
      </c>
      <c r="B501" t="str">
        <f>"MAX INH"</f>
        <v>MAX INH</v>
      </c>
    </row>
    <row r="502" spans="1:5">
      <c r="A502" t="s">
        <v>220</v>
      </c>
      <c r="B502">
        <v>0</v>
      </c>
    </row>
    <row r="504" spans="1:5">
      <c r="B504" t="s">
        <v>1639</v>
      </c>
      <c r="C504">
        <v>17</v>
      </c>
      <c r="D504">
        <v>1</v>
      </c>
      <c r="E504">
        <v>1</v>
      </c>
    </row>
    <row r="505" spans="1:5">
      <c r="B505" t="s">
        <v>1508</v>
      </c>
    </row>
    <row r="506" spans="1:5">
      <c r="A506" t="s">
        <v>1640</v>
      </c>
      <c r="B506" t="str">
        <f>"ON"</f>
        <v>ON</v>
      </c>
    </row>
    <row r="507" spans="1:5">
      <c r="A507" t="s">
        <v>1641</v>
      </c>
      <c r="B507" t="str">
        <f>"OFF"</f>
        <v>OFF</v>
      </c>
    </row>
    <row r="508" spans="1:5">
      <c r="A508" t="s">
        <v>1642</v>
      </c>
      <c r="B508" t="str">
        <f>"OFF"</f>
        <v>OFF</v>
      </c>
    </row>
    <row r="509" spans="1:5">
      <c r="A509" t="s">
        <v>1643</v>
      </c>
      <c r="B509" t="str">
        <f>"+"</f>
        <v>+</v>
      </c>
    </row>
    <row r="510" spans="1:5">
      <c r="A510" t="s">
        <v>3912</v>
      </c>
      <c r="B510" t="str">
        <f>"OFF"</f>
        <v>OFF</v>
      </c>
    </row>
    <row r="511" spans="1:5">
      <c r="A511" t="s">
        <v>3913</v>
      </c>
      <c r="B511" t="str">
        <f>"OFF"</f>
        <v>OFF</v>
      </c>
    </row>
    <row r="512" spans="1:5">
      <c r="A512" t="s">
        <v>13</v>
      </c>
      <c r="B512" t="str">
        <f>"OFF"</f>
        <v>OFF</v>
      </c>
    </row>
    <row r="513" spans="1:17">
      <c r="A513" t="s">
        <v>3914</v>
      </c>
      <c r="B513" t="str">
        <f>"RESERVED"</f>
        <v>RESERVED</v>
      </c>
    </row>
    <row r="514" spans="1:17">
      <c r="A514" t="s">
        <v>1644</v>
      </c>
      <c r="B514" t="str">
        <f>"ON"</f>
        <v>ON</v>
      </c>
    </row>
    <row r="515" spans="1:17">
      <c r="A515" t="s">
        <v>1645</v>
      </c>
      <c r="B515" t="str">
        <f>"OFF"</f>
        <v>OFF</v>
      </c>
    </row>
    <row r="516" spans="1:17">
      <c r="A516" t="s">
        <v>1646</v>
      </c>
      <c r="B516" t="str">
        <f>"TIMED"</f>
        <v>TIMED</v>
      </c>
    </row>
    <row r="517" spans="1:17">
      <c r="A517" t="s">
        <v>1647</v>
      </c>
      <c r="B517" t="str">
        <f>"TIMED"</f>
        <v>TIMED</v>
      </c>
    </row>
    <row r="518" spans="1:17">
      <c r="A518" t="s">
        <v>1648</v>
      </c>
      <c r="B518" t="str">
        <f>"OFF"</f>
        <v>OFF</v>
      </c>
    </row>
    <row r="519" spans="1:17">
      <c r="A519" t="s">
        <v>660</v>
      </c>
      <c r="B519" t="str">
        <f>"0"</f>
        <v>0</v>
      </c>
    </row>
    <row r="520" spans="1:17">
      <c r="A520" t="s">
        <v>3915</v>
      </c>
      <c r="B520" t="str">
        <f>"OFF"</f>
        <v>OFF</v>
      </c>
    </row>
    <row r="521" spans="1:17">
      <c r="A521" t="s">
        <v>1649</v>
      </c>
      <c r="B521" t="str">
        <f>"OFF"</f>
        <v>OFF</v>
      </c>
    </row>
    <row r="522" spans="1:17">
      <c r="A522" t="s">
        <v>1650</v>
      </c>
      <c r="B522" t="str">
        <f>"P1256_INH"</f>
        <v>P1256_INH</v>
      </c>
    </row>
    <row r="524" spans="1:17">
      <c r="B524" t="s">
        <v>1651</v>
      </c>
      <c r="C524">
        <v>3</v>
      </c>
      <c r="D524">
        <v>16</v>
      </c>
      <c r="E524">
        <v>1</v>
      </c>
    </row>
    <row r="525" spans="1:17">
      <c r="B525" t="s">
        <v>1652</v>
      </c>
      <c r="C525" t="s">
        <v>1653</v>
      </c>
      <c r="D525" t="s">
        <v>1654</v>
      </c>
      <c r="E525" t="s">
        <v>1655</v>
      </c>
      <c r="F525" t="s">
        <v>1656</v>
      </c>
      <c r="G525" t="s">
        <v>1657</v>
      </c>
      <c r="H525" t="s">
        <v>1658</v>
      </c>
      <c r="I525" t="s">
        <v>1659</v>
      </c>
      <c r="J525" t="s">
        <v>1660</v>
      </c>
      <c r="K525" t="s">
        <v>1661</v>
      </c>
      <c r="L525" t="s">
        <v>1662</v>
      </c>
      <c r="M525" t="s">
        <v>1663</v>
      </c>
      <c r="N525" t="s">
        <v>1664</v>
      </c>
      <c r="O525" t="s">
        <v>1665</v>
      </c>
      <c r="P525" t="s">
        <v>1666</v>
      </c>
      <c r="Q525" t="s">
        <v>1667</v>
      </c>
    </row>
    <row r="526" spans="1:17">
      <c r="A526" t="s">
        <v>1668</v>
      </c>
      <c r="B526">
        <v>9</v>
      </c>
      <c r="C526">
        <v>54</v>
      </c>
      <c r="D526">
        <v>9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</row>
    <row r="527" spans="1:17">
      <c r="A527" t="s">
        <v>8</v>
      </c>
      <c r="B527">
        <v>0</v>
      </c>
      <c r="C527">
        <v>1</v>
      </c>
      <c r="D527">
        <v>5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17">
      <c r="A528" t="s">
        <v>1669</v>
      </c>
      <c r="B528">
        <v>1</v>
      </c>
      <c r="C528">
        <v>40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</row>
    <row r="530" spans="1:17">
      <c r="B530" t="s">
        <v>1670</v>
      </c>
      <c r="C530">
        <v>3</v>
      </c>
      <c r="D530">
        <v>16</v>
      </c>
      <c r="E530">
        <v>1</v>
      </c>
    </row>
    <row r="531" spans="1:17">
      <c r="B531" t="s">
        <v>1652</v>
      </c>
      <c r="C531" t="s">
        <v>1653</v>
      </c>
      <c r="D531" t="s">
        <v>1654</v>
      </c>
      <c r="E531" t="s">
        <v>1655</v>
      </c>
      <c r="F531" t="s">
        <v>1656</v>
      </c>
      <c r="G531" t="s">
        <v>1657</v>
      </c>
      <c r="H531" t="s">
        <v>1658</v>
      </c>
      <c r="I531" t="s">
        <v>1659</v>
      </c>
      <c r="J531" t="s">
        <v>1660</v>
      </c>
      <c r="K531" t="s">
        <v>1661</v>
      </c>
      <c r="L531" t="s">
        <v>1662</v>
      </c>
      <c r="M531" t="s">
        <v>1663</v>
      </c>
      <c r="N531" t="s">
        <v>1664</v>
      </c>
      <c r="O531" t="s">
        <v>1665</v>
      </c>
      <c r="P531" t="s">
        <v>1666</v>
      </c>
      <c r="Q531" t="s">
        <v>1667</v>
      </c>
    </row>
    <row r="532" spans="1:17">
      <c r="A532" t="s">
        <v>1668</v>
      </c>
      <c r="B532">
        <v>9</v>
      </c>
      <c r="C532">
        <v>54</v>
      </c>
      <c r="D532">
        <v>9</v>
      </c>
      <c r="E532">
        <v>54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>
      <c r="A533" t="s">
        <v>8</v>
      </c>
      <c r="B533">
        <v>0</v>
      </c>
      <c r="C533">
        <v>1</v>
      </c>
      <c r="D533">
        <v>6</v>
      </c>
      <c r="E533">
        <v>19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</row>
    <row r="534" spans="1:17">
      <c r="A534" t="s">
        <v>1669</v>
      </c>
      <c r="B534">
        <v>1</v>
      </c>
      <c r="C534">
        <v>40</v>
      </c>
      <c r="D534">
        <v>0</v>
      </c>
      <c r="E534">
        <v>50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</row>
    <row r="536" spans="1:17">
      <c r="B536" t="s">
        <v>1671</v>
      </c>
      <c r="C536">
        <v>3</v>
      </c>
      <c r="D536">
        <v>16</v>
      </c>
      <c r="E536">
        <v>1</v>
      </c>
    </row>
    <row r="537" spans="1:17">
      <c r="B537" t="s">
        <v>1652</v>
      </c>
      <c r="C537" t="s">
        <v>1653</v>
      </c>
      <c r="D537" t="s">
        <v>1654</v>
      </c>
      <c r="E537" t="s">
        <v>1655</v>
      </c>
      <c r="F537" t="s">
        <v>1656</v>
      </c>
      <c r="G537" t="s">
        <v>1657</v>
      </c>
      <c r="H537" t="s">
        <v>1658</v>
      </c>
      <c r="I537" t="s">
        <v>1659</v>
      </c>
      <c r="J537" t="s">
        <v>1660</v>
      </c>
      <c r="K537" t="s">
        <v>1661</v>
      </c>
      <c r="L537" t="s">
        <v>1662</v>
      </c>
      <c r="M537" t="s">
        <v>1663</v>
      </c>
      <c r="N537" t="s">
        <v>1664</v>
      </c>
      <c r="O537" t="s">
        <v>1665</v>
      </c>
      <c r="P537" t="s">
        <v>1666</v>
      </c>
      <c r="Q537" t="s">
        <v>1667</v>
      </c>
    </row>
    <row r="538" spans="1:17">
      <c r="A538" t="s">
        <v>1668</v>
      </c>
      <c r="B538">
        <v>54</v>
      </c>
      <c r="C538">
        <v>9</v>
      </c>
      <c r="D538">
        <v>54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>
      <c r="A539" t="s">
        <v>8</v>
      </c>
      <c r="B539">
        <v>0</v>
      </c>
      <c r="C539">
        <v>6</v>
      </c>
      <c r="D539">
        <v>19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</row>
    <row r="540" spans="1:17">
      <c r="A540" t="s">
        <v>1669</v>
      </c>
      <c r="B540">
        <v>1</v>
      </c>
      <c r="C540">
        <v>0</v>
      </c>
      <c r="D540">
        <v>50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</row>
    <row r="542" spans="1:17">
      <c r="B542" t="s">
        <v>1672</v>
      </c>
      <c r="C542">
        <v>3</v>
      </c>
      <c r="D542">
        <v>16</v>
      </c>
      <c r="E542">
        <v>1</v>
      </c>
    </row>
    <row r="543" spans="1:17">
      <c r="B543" t="s">
        <v>1652</v>
      </c>
      <c r="C543" t="s">
        <v>1653</v>
      </c>
      <c r="D543" t="s">
        <v>1654</v>
      </c>
      <c r="E543" t="s">
        <v>1655</v>
      </c>
      <c r="F543" t="s">
        <v>1656</v>
      </c>
      <c r="G543" t="s">
        <v>1657</v>
      </c>
      <c r="H543" t="s">
        <v>1658</v>
      </c>
      <c r="I543" t="s">
        <v>1659</v>
      </c>
      <c r="J543" t="s">
        <v>1660</v>
      </c>
      <c r="K543" t="s">
        <v>1661</v>
      </c>
      <c r="L543" t="s">
        <v>1662</v>
      </c>
      <c r="M543" t="s">
        <v>1663</v>
      </c>
      <c r="N543" t="s">
        <v>1664</v>
      </c>
      <c r="O543" t="s">
        <v>1665</v>
      </c>
      <c r="P543" t="s">
        <v>1666</v>
      </c>
      <c r="Q543" t="s">
        <v>1667</v>
      </c>
    </row>
    <row r="544" spans="1:17">
      <c r="A544" t="s">
        <v>1668</v>
      </c>
      <c r="B544">
        <v>9</v>
      </c>
      <c r="C544">
        <v>54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5" spans="1:17">
      <c r="A545" t="s">
        <v>8</v>
      </c>
      <c r="B545">
        <v>0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</row>
    <row r="546" spans="1:17">
      <c r="A546" t="s">
        <v>1669</v>
      </c>
      <c r="B546">
        <v>1</v>
      </c>
      <c r="C546">
        <v>40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</row>
    <row r="548" spans="1:17">
      <c r="B548" t="s">
        <v>1673</v>
      </c>
      <c r="C548">
        <v>3</v>
      </c>
      <c r="D548">
        <v>16</v>
      </c>
      <c r="E548">
        <v>1</v>
      </c>
    </row>
    <row r="549" spans="1:17">
      <c r="B549" t="s">
        <v>1652</v>
      </c>
      <c r="C549" t="s">
        <v>1653</v>
      </c>
      <c r="D549" t="s">
        <v>1654</v>
      </c>
      <c r="E549" t="s">
        <v>1655</v>
      </c>
      <c r="F549" t="s">
        <v>1656</v>
      </c>
      <c r="G549" t="s">
        <v>1657</v>
      </c>
      <c r="H549" t="s">
        <v>1658</v>
      </c>
      <c r="I549" t="s">
        <v>1659</v>
      </c>
      <c r="J549" t="s">
        <v>1660</v>
      </c>
      <c r="K549" t="s">
        <v>1661</v>
      </c>
      <c r="L549" t="s">
        <v>1662</v>
      </c>
      <c r="M549" t="s">
        <v>1663</v>
      </c>
      <c r="N549" t="s">
        <v>1664</v>
      </c>
      <c r="O549" t="s">
        <v>1665</v>
      </c>
      <c r="P549" t="s">
        <v>1666</v>
      </c>
      <c r="Q549" t="s">
        <v>1667</v>
      </c>
    </row>
    <row r="550" spans="1:17">
      <c r="A550" t="s">
        <v>1668</v>
      </c>
      <c r="B550">
        <v>54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</row>
    <row r="551" spans="1:17">
      <c r="A551" t="s">
        <v>8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</row>
    <row r="552" spans="1:17">
      <c r="A552" t="s">
        <v>1669</v>
      </c>
      <c r="B552"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</row>
    <row r="554" spans="1:17">
      <c r="B554" t="s">
        <v>1674</v>
      </c>
      <c r="C554">
        <v>3</v>
      </c>
      <c r="D554">
        <v>16</v>
      </c>
      <c r="E554">
        <v>1</v>
      </c>
    </row>
    <row r="555" spans="1:17">
      <c r="B555" t="s">
        <v>1652</v>
      </c>
      <c r="C555" t="s">
        <v>1653</v>
      </c>
      <c r="D555" t="s">
        <v>1654</v>
      </c>
      <c r="E555" t="s">
        <v>1655</v>
      </c>
      <c r="F555" t="s">
        <v>1656</v>
      </c>
      <c r="G555" t="s">
        <v>1657</v>
      </c>
      <c r="H555" t="s">
        <v>1658</v>
      </c>
      <c r="I555" t="s">
        <v>1659</v>
      </c>
      <c r="J555" t="s">
        <v>1660</v>
      </c>
      <c r="K555" t="s">
        <v>1661</v>
      </c>
      <c r="L555" t="s">
        <v>1662</v>
      </c>
      <c r="M555" t="s">
        <v>1663</v>
      </c>
      <c r="N555" t="s">
        <v>1664</v>
      </c>
      <c r="O555" t="s">
        <v>1665</v>
      </c>
      <c r="P555" t="s">
        <v>1666</v>
      </c>
      <c r="Q555" t="s">
        <v>1667</v>
      </c>
    </row>
    <row r="556" spans="1:17">
      <c r="A556" t="s">
        <v>1668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</row>
    <row r="557" spans="1:17">
      <c r="A557" t="s">
        <v>8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</row>
    <row r="558" spans="1:17">
      <c r="A558" t="s">
        <v>1669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</row>
    <row r="560" spans="1:17">
      <c r="B560" t="s">
        <v>1675</v>
      </c>
      <c r="C560">
        <v>3</v>
      </c>
      <c r="D560">
        <v>16</v>
      </c>
      <c r="E560">
        <v>1</v>
      </c>
    </row>
    <row r="561" spans="1:17">
      <c r="B561" t="s">
        <v>1652</v>
      </c>
      <c r="C561" t="s">
        <v>1653</v>
      </c>
      <c r="D561" t="s">
        <v>1654</v>
      </c>
      <c r="E561" t="s">
        <v>1655</v>
      </c>
      <c r="F561" t="s">
        <v>1656</v>
      </c>
      <c r="G561" t="s">
        <v>1657</v>
      </c>
      <c r="H561" t="s">
        <v>1658</v>
      </c>
      <c r="I561" t="s">
        <v>1659</v>
      </c>
      <c r="J561" t="s">
        <v>1660</v>
      </c>
      <c r="K561" t="s">
        <v>1661</v>
      </c>
      <c r="L561" t="s">
        <v>1662</v>
      </c>
      <c r="M561" t="s">
        <v>1663</v>
      </c>
      <c r="N561" t="s">
        <v>1664</v>
      </c>
      <c r="O561" t="s">
        <v>1665</v>
      </c>
      <c r="P561" t="s">
        <v>1666</v>
      </c>
      <c r="Q561" t="s">
        <v>1667</v>
      </c>
    </row>
    <row r="562" spans="1:17">
      <c r="A562" t="s">
        <v>1668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>
      <c r="A563" t="s">
        <v>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>
      <c r="A564" t="s">
        <v>1669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6" spans="1:17">
      <c r="B566" t="s">
        <v>1676</v>
      </c>
      <c r="C566">
        <v>3</v>
      </c>
      <c r="D566">
        <v>16</v>
      </c>
      <c r="E566">
        <v>1</v>
      </c>
    </row>
    <row r="567" spans="1:17">
      <c r="B567" t="s">
        <v>1652</v>
      </c>
      <c r="C567" t="s">
        <v>1653</v>
      </c>
      <c r="D567" t="s">
        <v>1654</v>
      </c>
      <c r="E567" t="s">
        <v>1655</v>
      </c>
      <c r="F567" t="s">
        <v>1656</v>
      </c>
      <c r="G567" t="s">
        <v>1657</v>
      </c>
      <c r="H567" t="s">
        <v>1658</v>
      </c>
      <c r="I567" t="s">
        <v>1659</v>
      </c>
      <c r="J567" t="s">
        <v>1660</v>
      </c>
      <c r="K567" t="s">
        <v>1661</v>
      </c>
      <c r="L567" t="s">
        <v>1662</v>
      </c>
      <c r="M567" t="s">
        <v>1663</v>
      </c>
      <c r="N567" t="s">
        <v>1664</v>
      </c>
      <c r="O567" t="s">
        <v>1665</v>
      </c>
      <c r="P567" t="s">
        <v>1666</v>
      </c>
      <c r="Q567" t="s">
        <v>1667</v>
      </c>
    </row>
    <row r="568" spans="1:17">
      <c r="A568" t="s">
        <v>1668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>
      <c r="A569" t="s">
        <v>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>
      <c r="A570" t="s">
        <v>1669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</row>
    <row r="572" spans="1:17">
      <c r="B572" t="s">
        <v>1677</v>
      </c>
      <c r="C572">
        <v>3</v>
      </c>
      <c r="D572">
        <v>16</v>
      </c>
      <c r="E572">
        <v>1</v>
      </c>
    </row>
    <row r="573" spans="1:17">
      <c r="B573" t="s">
        <v>1652</v>
      </c>
      <c r="C573" t="s">
        <v>1653</v>
      </c>
      <c r="D573" t="s">
        <v>1654</v>
      </c>
      <c r="E573" t="s">
        <v>1655</v>
      </c>
      <c r="F573" t="s">
        <v>1656</v>
      </c>
      <c r="G573" t="s">
        <v>1657</v>
      </c>
      <c r="H573" t="s">
        <v>1658</v>
      </c>
      <c r="I573" t="s">
        <v>1659</v>
      </c>
      <c r="J573" t="s">
        <v>1660</v>
      </c>
      <c r="K573" t="s">
        <v>1661</v>
      </c>
      <c r="L573" t="s">
        <v>1662</v>
      </c>
      <c r="M573" t="s">
        <v>1663</v>
      </c>
      <c r="N573" t="s">
        <v>1664</v>
      </c>
      <c r="O573" t="s">
        <v>1665</v>
      </c>
      <c r="P573" t="s">
        <v>1666</v>
      </c>
      <c r="Q573" t="s">
        <v>1667</v>
      </c>
    </row>
    <row r="574" spans="1:17">
      <c r="A574" t="s">
        <v>1668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</row>
    <row r="575" spans="1:17">
      <c r="A575" t="s">
        <v>8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>
      <c r="A576" t="s">
        <v>1669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78" spans="1:17">
      <c r="B578" t="s">
        <v>1678</v>
      </c>
      <c r="C578">
        <v>3</v>
      </c>
      <c r="D578">
        <v>16</v>
      </c>
      <c r="E578">
        <v>1</v>
      </c>
    </row>
    <row r="579" spans="1:17">
      <c r="B579" t="s">
        <v>1652</v>
      </c>
      <c r="C579" t="s">
        <v>1653</v>
      </c>
      <c r="D579" t="s">
        <v>1654</v>
      </c>
      <c r="E579" t="s">
        <v>1655</v>
      </c>
      <c r="F579" t="s">
        <v>1656</v>
      </c>
      <c r="G579" t="s">
        <v>1657</v>
      </c>
      <c r="H579" t="s">
        <v>1658</v>
      </c>
      <c r="I579" t="s">
        <v>1659</v>
      </c>
      <c r="J579" t="s">
        <v>1660</v>
      </c>
      <c r="K579" t="s">
        <v>1661</v>
      </c>
      <c r="L579" t="s">
        <v>1662</v>
      </c>
      <c r="M579" t="s">
        <v>1663</v>
      </c>
      <c r="N579" t="s">
        <v>1664</v>
      </c>
      <c r="O579" t="s">
        <v>1665</v>
      </c>
      <c r="P579" t="s">
        <v>1666</v>
      </c>
      <c r="Q579" t="s">
        <v>1667</v>
      </c>
    </row>
    <row r="580" spans="1:17">
      <c r="A580" t="s">
        <v>1668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</row>
    <row r="581" spans="1:17">
      <c r="A581" t="s">
        <v>8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</row>
    <row r="582" spans="1:17">
      <c r="A582" t="s">
        <v>1669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</row>
    <row r="584" spans="1:17">
      <c r="B584" t="s">
        <v>1679</v>
      </c>
      <c r="C584">
        <v>3</v>
      </c>
      <c r="D584">
        <v>16</v>
      </c>
      <c r="E584">
        <v>1</v>
      </c>
    </row>
    <row r="585" spans="1:17">
      <c r="B585" t="s">
        <v>1652</v>
      </c>
      <c r="C585" t="s">
        <v>1653</v>
      </c>
      <c r="D585" t="s">
        <v>1654</v>
      </c>
      <c r="E585" t="s">
        <v>1655</v>
      </c>
      <c r="F585" t="s">
        <v>1656</v>
      </c>
      <c r="G585" t="s">
        <v>1657</v>
      </c>
      <c r="H585" t="s">
        <v>1658</v>
      </c>
      <c r="I585" t="s">
        <v>1659</v>
      </c>
      <c r="J585" t="s">
        <v>1660</v>
      </c>
      <c r="K585" t="s">
        <v>1661</v>
      </c>
      <c r="L585" t="s">
        <v>1662</v>
      </c>
      <c r="M585" t="s">
        <v>1663</v>
      </c>
      <c r="N585" t="s">
        <v>1664</v>
      </c>
      <c r="O585" t="s">
        <v>1665</v>
      </c>
      <c r="P585" t="s">
        <v>1666</v>
      </c>
      <c r="Q585" t="s">
        <v>1667</v>
      </c>
    </row>
    <row r="586" spans="1:17">
      <c r="A586" t="s">
        <v>1668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</row>
    <row r="587" spans="1:17">
      <c r="A587" t="s">
        <v>8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</row>
    <row r="588" spans="1:17">
      <c r="A588" t="s">
        <v>1669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</row>
    <row r="590" spans="1:17">
      <c r="B590" t="s">
        <v>1680</v>
      </c>
      <c r="C590">
        <v>3</v>
      </c>
      <c r="D590">
        <v>16</v>
      </c>
      <c r="E590">
        <v>1</v>
      </c>
    </row>
    <row r="591" spans="1:17">
      <c r="B591" t="s">
        <v>1652</v>
      </c>
      <c r="C591" t="s">
        <v>1653</v>
      </c>
      <c r="D591" t="s">
        <v>1654</v>
      </c>
      <c r="E591" t="s">
        <v>1655</v>
      </c>
      <c r="F591" t="s">
        <v>1656</v>
      </c>
      <c r="G591" t="s">
        <v>1657</v>
      </c>
      <c r="H591" t="s">
        <v>1658</v>
      </c>
      <c r="I591" t="s">
        <v>1659</v>
      </c>
      <c r="J591" t="s">
        <v>1660</v>
      </c>
      <c r="K591" t="s">
        <v>1661</v>
      </c>
      <c r="L591" t="s">
        <v>1662</v>
      </c>
      <c r="M591" t="s">
        <v>1663</v>
      </c>
      <c r="N591" t="s">
        <v>1664</v>
      </c>
      <c r="O591" t="s">
        <v>1665</v>
      </c>
      <c r="P591" t="s">
        <v>1666</v>
      </c>
      <c r="Q591" t="s">
        <v>1667</v>
      </c>
    </row>
    <row r="592" spans="1:17">
      <c r="A592" t="s">
        <v>1668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</row>
    <row r="593" spans="1:17">
      <c r="A593" t="s">
        <v>8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</row>
    <row r="594" spans="1:17">
      <c r="A594" t="s">
        <v>1669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</row>
    <row r="596" spans="1:17">
      <c r="B596" t="s">
        <v>1681</v>
      </c>
      <c r="C596">
        <v>3</v>
      </c>
      <c r="D596">
        <v>16</v>
      </c>
      <c r="E596">
        <v>1</v>
      </c>
    </row>
    <row r="597" spans="1:17">
      <c r="B597" t="s">
        <v>1652</v>
      </c>
      <c r="C597" t="s">
        <v>1653</v>
      </c>
      <c r="D597" t="s">
        <v>1654</v>
      </c>
      <c r="E597" t="s">
        <v>1655</v>
      </c>
      <c r="F597" t="s">
        <v>1656</v>
      </c>
      <c r="G597" t="s">
        <v>1657</v>
      </c>
      <c r="H597" t="s">
        <v>1658</v>
      </c>
      <c r="I597" t="s">
        <v>1659</v>
      </c>
      <c r="J597" t="s">
        <v>1660</v>
      </c>
      <c r="K597" t="s">
        <v>1661</v>
      </c>
      <c r="L597" t="s">
        <v>1662</v>
      </c>
      <c r="M597" t="s">
        <v>1663</v>
      </c>
      <c r="N597" t="s">
        <v>1664</v>
      </c>
      <c r="O597" t="s">
        <v>1665</v>
      </c>
      <c r="P597" t="s">
        <v>1666</v>
      </c>
      <c r="Q597" t="s">
        <v>1667</v>
      </c>
    </row>
    <row r="598" spans="1:17">
      <c r="A598" t="s">
        <v>1668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>
      <c r="A599" t="s">
        <v>8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spans="1:17">
      <c r="A600" t="s">
        <v>1669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</row>
    <row r="602" spans="1:17">
      <c r="B602" t="s">
        <v>1682</v>
      </c>
      <c r="C602">
        <v>3</v>
      </c>
      <c r="D602">
        <v>16</v>
      </c>
      <c r="E602">
        <v>1</v>
      </c>
    </row>
    <row r="603" spans="1:17">
      <c r="B603" t="s">
        <v>1652</v>
      </c>
      <c r="C603" t="s">
        <v>1653</v>
      </c>
      <c r="D603" t="s">
        <v>1654</v>
      </c>
      <c r="E603" t="s">
        <v>1655</v>
      </c>
      <c r="F603" t="s">
        <v>1656</v>
      </c>
      <c r="G603" t="s">
        <v>1657</v>
      </c>
      <c r="H603" t="s">
        <v>1658</v>
      </c>
      <c r="I603" t="s">
        <v>1659</v>
      </c>
      <c r="J603" t="s">
        <v>1660</v>
      </c>
      <c r="K603" t="s">
        <v>1661</v>
      </c>
      <c r="L603" t="s">
        <v>1662</v>
      </c>
      <c r="M603" t="s">
        <v>1663</v>
      </c>
      <c r="N603" t="s">
        <v>1664</v>
      </c>
      <c r="O603" t="s">
        <v>1665</v>
      </c>
      <c r="P603" t="s">
        <v>1666</v>
      </c>
      <c r="Q603" t="s">
        <v>1667</v>
      </c>
    </row>
    <row r="604" spans="1:17">
      <c r="A604" t="s">
        <v>1668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</row>
    <row r="605" spans="1:17">
      <c r="A605" t="s">
        <v>8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</row>
    <row r="606" spans="1:17">
      <c r="A606" t="s">
        <v>1669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</row>
    <row r="608" spans="1:17">
      <c r="B608" t="s">
        <v>1683</v>
      </c>
      <c r="C608">
        <v>3</v>
      </c>
      <c r="D608">
        <v>16</v>
      </c>
      <c r="E608">
        <v>1</v>
      </c>
    </row>
    <row r="609" spans="1:17">
      <c r="B609" t="s">
        <v>1652</v>
      </c>
      <c r="C609" t="s">
        <v>1653</v>
      </c>
      <c r="D609" t="s">
        <v>1654</v>
      </c>
      <c r="E609" t="s">
        <v>1655</v>
      </c>
      <c r="F609" t="s">
        <v>1656</v>
      </c>
      <c r="G609" t="s">
        <v>1657</v>
      </c>
      <c r="H609" t="s">
        <v>1658</v>
      </c>
      <c r="I609" t="s">
        <v>1659</v>
      </c>
      <c r="J609" t="s">
        <v>1660</v>
      </c>
      <c r="K609" t="s">
        <v>1661</v>
      </c>
      <c r="L609" t="s">
        <v>1662</v>
      </c>
      <c r="M609" t="s">
        <v>1663</v>
      </c>
      <c r="N609" t="s">
        <v>1664</v>
      </c>
      <c r="O609" t="s">
        <v>1665</v>
      </c>
      <c r="P609" t="s">
        <v>1666</v>
      </c>
      <c r="Q609" t="s">
        <v>1667</v>
      </c>
    </row>
    <row r="610" spans="1:17">
      <c r="A610" t="s">
        <v>1668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</row>
    <row r="611" spans="1:17">
      <c r="A611" t="s">
        <v>8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</row>
    <row r="612" spans="1:17">
      <c r="A612" t="s">
        <v>1669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</row>
    <row r="614" spans="1:17">
      <c r="B614" t="s">
        <v>1684</v>
      </c>
      <c r="C614">
        <v>3</v>
      </c>
      <c r="D614">
        <v>16</v>
      </c>
      <c r="E614">
        <v>1</v>
      </c>
    </row>
    <row r="615" spans="1:17">
      <c r="B615" t="s">
        <v>1652</v>
      </c>
      <c r="C615" t="s">
        <v>1653</v>
      </c>
      <c r="D615" t="s">
        <v>1654</v>
      </c>
      <c r="E615" t="s">
        <v>1655</v>
      </c>
      <c r="F615" t="s">
        <v>1656</v>
      </c>
      <c r="G615" t="s">
        <v>1657</v>
      </c>
      <c r="H615" t="s">
        <v>1658</v>
      </c>
      <c r="I615" t="s">
        <v>1659</v>
      </c>
      <c r="J615" t="s">
        <v>1660</v>
      </c>
      <c r="K615" t="s">
        <v>1661</v>
      </c>
      <c r="L615" t="s">
        <v>1662</v>
      </c>
      <c r="M615" t="s">
        <v>1663</v>
      </c>
      <c r="N615" t="s">
        <v>1664</v>
      </c>
      <c r="O615" t="s">
        <v>1665</v>
      </c>
      <c r="P615" t="s">
        <v>1666</v>
      </c>
      <c r="Q615" t="s">
        <v>1667</v>
      </c>
    </row>
    <row r="616" spans="1:17">
      <c r="A616" t="s">
        <v>1668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</row>
    <row r="617" spans="1:17">
      <c r="A617" t="s">
        <v>8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</row>
    <row r="618" spans="1:17">
      <c r="A618" t="s">
        <v>1669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</row>
    <row r="620" spans="1:17">
      <c r="B620" t="s">
        <v>1685</v>
      </c>
      <c r="C620">
        <v>3</v>
      </c>
      <c r="D620">
        <v>16</v>
      </c>
      <c r="E620">
        <v>1</v>
      </c>
    </row>
    <row r="621" spans="1:17">
      <c r="B621" t="s">
        <v>1652</v>
      </c>
      <c r="C621" t="s">
        <v>1653</v>
      </c>
      <c r="D621" t="s">
        <v>1654</v>
      </c>
      <c r="E621" t="s">
        <v>1655</v>
      </c>
      <c r="F621" t="s">
        <v>1656</v>
      </c>
      <c r="G621" t="s">
        <v>1657</v>
      </c>
      <c r="H621" t="s">
        <v>1658</v>
      </c>
      <c r="I621" t="s">
        <v>1659</v>
      </c>
      <c r="J621" t="s">
        <v>1660</v>
      </c>
      <c r="K621" t="s">
        <v>1661</v>
      </c>
      <c r="L621" t="s">
        <v>1662</v>
      </c>
      <c r="M621" t="s">
        <v>1663</v>
      </c>
      <c r="N621" t="s">
        <v>1664</v>
      </c>
      <c r="O621" t="s">
        <v>1665</v>
      </c>
      <c r="P621" t="s">
        <v>1666</v>
      </c>
      <c r="Q621" t="s">
        <v>1667</v>
      </c>
    </row>
    <row r="622" spans="1:17">
      <c r="A622" t="s">
        <v>1668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</row>
    <row r="623" spans="1:17">
      <c r="A623" t="s">
        <v>8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</row>
    <row r="624" spans="1:17">
      <c r="A624" t="s">
        <v>1669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</row>
    <row r="626" spans="1:17">
      <c r="B626" t="s">
        <v>1686</v>
      </c>
      <c r="C626">
        <v>3</v>
      </c>
      <c r="D626">
        <v>16</v>
      </c>
      <c r="E626">
        <v>1</v>
      </c>
    </row>
    <row r="627" spans="1:17">
      <c r="B627" t="s">
        <v>1652</v>
      </c>
      <c r="C627" t="s">
        <v>1653</v>
      </c>
      <c r="D627" t="s">
        <v>1654</v>
      </c>
      <c r="E627" t="s">
        <v>1655</v>
      </c>
      <c r="F627" t="s">
        <v>1656</v>
      </c>
      <c r="G627" t="s">
        <v>1657</v>
      </c>
      <c r="H627" t="s">
        <v>1658</v>
      </c>
      <c r="I627" t="s">
        <v>1659</v>
      </c>
      <c r="J627" t="s">
        <v>1660</v>
      </c>
      <c r="K627" t="s">
        <v>1661</v>
      </c>
      <c r="L627" t="s">
        <v>1662</v>
      </c>
      <c r="M627" t="s">
        <v>1663</v>
      </c>
      <c r="N627" t="s">
        <v>1664</v>
      </c>
      <c r="O627" t="s">
        <v>1665</v>
      </c>
      <c r="P627" t="s">
        <v>1666</v>
      </c>
      <c r="Q627" t="s">
        <v>1667</v>
      </c>
    </row>
    <row r="628" spans="1:17">
      <c r="A628" t="s">
        <v>1668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</row>
    <row r="629" spans="1:17">
      <c r="A629" t="s">
        <v>8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</row>
    <row r="630" spans="1:17">
      <c r="A630" t="s">
        <v>1669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</row>
    <row r="632" spans="1:17">
      <c r="B632" t="s">
        <v>1687</v>
      </c>
      <c r="C632">
        <v>3</v>
      </c>
      <c r="D632">
        <v>16</v>
      </c>
      <c r="E632">
        <v>1</v>
      </c>
    </row>
    <row r="633" spans="1:17">
      <c r="B633" t="s">
        <v>1652</v>
      </c>
      <c r="C633" t="s">
        <v>1653</v>
      </c>
      <c r="D633" t="s">
        <v>1654</v>
      </c>
      <c r="E633" t="s">
        <v>1655</v>
      </c>
      <c r="F633" t="s">
        <v>1656</v>
      </c>
      <c r="G633" t="s">
        <v>1657</v>
      </c>
      <c r="H633" t="s">
        <v>1658</v>
      </c>
      <c r="I633" t="s">
        <v>1659</v>
      </c>
      <c r="J633" t="s">
        <v>1660</v>
      </c>
      <c r="K633" t="s">
        <v>1661</v>
      </c>
      <c r="L633" t="s">
        <v>1662</v>
      </c>
      <c r="M633" t="s">
        <v>1663</v>
      </c>
      <c r="N633" t="s">
        <v>1664</v>
      </c>
      <c r="O633" t="s">
        <v>1665</v>
      </c>
      <c r="P633" t="s">
        <v>1666</v>
      </c>
      <c r="Q633" t="s">
        <v>1667</v>
      </c>
    </row>
    <row r="634" spans="1:17">
      <c r="A634" t="s">
        <v>1668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</row>
    <row r="635" spans="1:17">
      <c r="A635" t="s">
        <v>8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</row>
    <row r="636" spans="1:17">
      <c r="A636" t="s">
        <v>1669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</row>
    <row r="638" spans="1:17">
      <c r="B638" t="s">
        <v>1688</v>
      </c>
      <c r="C638">
        <v>3</v>
      </c>
      <c r="D638">
        <v>16</v>
      </c>
      <c r="E638">
        <v>1</v>
      </c>
    </row>
    <row r="639" spans="1:17">
      <c r="B639" t="s">
        <v>1652</v>
      </c>
      <c r="C639" t="s">
        <v>1653</v>
      </c>
      <c r="D639" t="s">
        <v>1654</v>
      </c>
      <c r="E639" t="s">
        <v>1655</v>
      </c>
      <c r="F639" t="s">
        <v>1656</v>
      </c>
      <c r="G639" t="s">
        <v>1657</v>
      </c>
      <c r="H639" t="s">
        <v>1658</v>
      </c>
      <c r="I639" t="s">
        <v>1659</v>
      </c>
      <c r="J639" t="s">
        <v>1660</v>
      </c>
      <c r="K639" t="s">
        <v>1661</v>
      </c>
      <c r="L639" t="s">
        <v>1662</v>
      </c>
      <c r="M639" t="s">
        <v>1663</v>
      </c>
      <c r="N639" t="s">
        <v>1664</v>
      </c>
      <c r="O639" t="s">
        <v>1665</v>
      </c>
      <c r="P639" t="s">
        <v>1666</v>
      </c>
      <c r="Q639" t="s">
        <v>1667</v>
      </c>
    </row>
    <row r="640" spans="1:17">
      <c r="A640" t="s">
        <v>1668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</row>
    <row r="641" spans="1:17">
      <c r="A641" t="s">
        <v>8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</row>
    <row r="642" spans="1:17">
      <c r="A642" t="s">
        <v>1669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</row>
    <row r="644" spans="1:17">
      <c r="B644" t="s">
        <v>1689</v>
      </c>
      <c r="C644">
        <v>3</v>
      </c>
      <c r="D644">
        <v>16</v>
      </c>
      <c r="E644">
        <v>1</v>
      </c>
    </row>
    <row r="645" spans="1:17">
      <c r="B645" t="s">
        <v>1652</v>
      </c>
      <c r="C645" t="s">
        <v>1653</v>
      </c>
      <c r="D645" t="s">
        <v>1654</v>
      </c>
      <c r="E645" t="s">
        <v>1655</v>
      </c>
      <c r="F645" t="s">
        <v>1656</v>
      </c>
      <c r="G645" t="s">
        <v>1657</v>
      </c>
      <c r="H645" t="s">
        <v>1658</v>
      </c>
      <c r="I645" t="s">
        <v>1659</v>
      </c>
      <c r="J645" t="s">
        <v>1660</v>
      </c>
      <c r="K645" t="s">
        <v>1661</v>
      </c>
      <c r="L645" t="s">
        <v>1662</v>
      </c>
      <c r="M645" t="s">
        <v>1663</v>
      </c>
      <c r="N645" t="s">
        <v>1664</v>
      </c>
      <c r="O645" t="s">
        <v>1665</v>
      </c>
      <c r="P645" t="s">
        <v>1666</v>
      </c>
      <c r="Q645" t="s">
        <v>1667</v>
      </c>
    </row>
    <row r="646" spans="1:17">
      <c r="A646" t="s">
        <v>1668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</row>
    <row r="647" spans="1:17">
      <c r="A647" t="s">
        <v>8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</row>
    <row r="648" spans="1:17">
      <c r="A648" t="s">
        <v>1669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</row>
    <row r="650" spans="1:17">
      <c r="B650" t="s">
        <v>1690</v>
      </c>
      <c r="C650">
        <v>3</v>
      </c>
      <c r="D650">
        <v>16</v>
      </c>
      <c r="E650">
        <v>1</v>
      </c>
    </row>
    <row r="651" spans="1:17">
      <c r="B651" t="s">
        <v>1652</v>
      </c>
      <c r="C651" t="s">
        <v>1653</v>
      </c>
      <c r="D651" t="s">
        <v>1654</v>
      </c>
      <c r="E651" t="s">
        <v>1655</v>
      </c>
      <c r="F651" t="s">
        <v>1656</v>
      </c>
      <c r="G651" t="s">
        <v>1657</v>
      </c>
      <c r="H651" t="s">
        <v>1658</v>
      </c>
      <c r="I651" t="s">
        <v>1659</v>
      </c>
      <c r="J651" t="s">
        <v>1660</v>
      </c>
      <c r="K651" t="s">
        <v>1661</v>
      </c>
      <c r="L651" t="s">
        <v>1662</v>
      </c>
      <c r="M651" t="s">
        <v>1663</v>
      </c>
      <c r="N651" t="s">
        <v>1664</v>
      </c>
      <c r="O651" t="s">
        <v>1665</v>
      </c>
      <c r="P651" t="s">
        <v>1666</v>
      </c>
      <c r="Q651" t="s">
        <v>1667</v>
      </c>
    </row>
    <row r="652" spans="1:17">
      <c r="A652" t="s">
        <v>1668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</row>
    <row r="653" spans="1:17">
      <c r="A653" t="s">
        <v>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</row>
    <row r="654" spans="1:17">
      <c r="A654" t="s">
        <v>1669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</row>
    <row r="656" spans="1:17">
      <c r="B656" t="s">
        <v>1691</v>
      </c>
      <c r="C656">
        <v>3</v>
      </c>
      <c r="D656">
        <v>16</v>
      </c>
      <c r="E656">
        <v>1</v>
      </c>
    </row>
    <row r="657" spans="1:17">
      <c r="B657" t="s">
        <v>1652</v>
      </c>
      <c r="C657" t="s">
        <v>1653</v>
      </c>
      <c r="D657" t="s">
        <v>1654</v>
      </c>
      <c r="E657" t="s">
        <v>1655</v>
      </c>
      <c r="F657" t="s">
        <v>1656</v>
      </c>
      <c r="G657" t="s">
        <v>1657</v>
      </c>
      <c r="H657" t="s">
        <v>1658</v>
      </c>
      <c r="I657" t="s">
        <v>1659</v>
      </c>
      <c r="J657" t="s">
        <v>1660</v>
      </c>
      <c r="K657" t="s">
        <v>1661</v>
      </c>
      <c r="L657" t="s">
        <v>1662</v>
      </c>
      <c r="M657" t="s">
        <v>1663</v>
      </c>
      <c r="N657" t="s">
        <v>1664</v>
      </c>
      <c r="O657" t="s">
        <v>1665</v>
      </c>
      <c r="P657" t="s">
        <v>1666</v>
      </c>
      <c r="Q657" t="s">
        <v>1667</v>
      </c>
    </row>
    <row r="658" spans="1:17">
      <c r="A658" t="s">
        <v>1668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</row>
    <row r="659" spans="1:17">
      <c r="A659" t="s">
        <v>8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</row>
    <row r="660" spans="1:17">
      <c r="A660" t="s">
        <v>1669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</row>
    <row r="662" spans="1:17">
      <c r="B662" t="s">
        <v>1692</v>
      </c>
      <c r="C662">
        <v>3</v>
      </c>
      <c r="D662">
        <v>16</v>
      </c>
      <c r="E662">
        <v>1</v>
      </c>
    </row>
    <row r="663" spans="1:17">
      <c r="B663" t="s">
        <v>1652</v>
      </c>
      <c r="C663" t="s">
        <v>1653</v>
      </c>
      <c r="D663" t="s">
        <v>1654</v>
      </c>
      <c r="E663" t="s">
        <v>1655</v>
      </c>
      <c r="F663" t="s">
        <v>1656</v>
      </c>
      <c r="G663" t="s">
        <v>1657</v>
      </c>
      <c r="H663" t="s">
        <v>1658</v>
      </c>
      <c r="I663" t="s">
        <v>1659</v>
      </c>
      <c r="J663" t="s">
        <v>1660</v>
      </c>
      <c r="K663" t="s">
        <v>1661</v>
      </c>
      <c r="L663" t="s">
        <v>1662</v>
      </c>
      <c r="M663" t="s">
        <v>1663</v>
      </c>
      <c r="N663" t="s">
        <v>1664</v>
      </c>
      <c r="O663" t="s">
        <v>1665</v>
      </c>
      <c r="P663" t="s">
        <v>1666</v>
      </c>
      <c r="Q663" t="s">
        <v>1667</v>
      </c>
    </row>
    <row r="664" spans="1:17">
      <c r="A664" t="s">
        <v>1668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</row>
    <row r="665" spans="1:17">
      <c r="A665" t="s">
        <v>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</row>
    <row r="666" spans="1:17">
      <c r="A666" t="s">
        <v>1669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</row>
    <row r="668" spans="1:17">
      <c r="B668" t="s">
        <v>1693</v>
      </c>
      <c r="C668">
        <v>3</v>
      </c>
      <c r="D668">
        <v>16</v>
      </c>
      <c r="E668">
        <v>1</v>
      </c>
    </row>
    <row r="669" spans="1:17">
      <c r="B669" t="s">
        <v>1652</v>
      </c>
      <c r="C669" t="s">
        <v>1653</v>
      </c>
      <c r="D669" t="s">
        <v>1654</v>
      </c>
      <c r="E669" t="s">
        <v>1655</v>
      </c>
      <c r="F669" t="s">
        <v>1656</v>
      </c>
      <c r="G669" t="s">
        <v>1657</v>
      </c>
      <c r="H669" t="s">
        <v>1658</v>
      </c>
      <c r="I669" t="s">
        <v>1659</v>
      </c>
      <c r="J669" t="s">
        <v>1660</v>
      </c>
      <c r="K669" t="s">
        <v>1661</v>
      </c>
      <c r="L669" t="s">
        <v>1662</v>
      </c>
      <c r="M669" t="s">
        <v>1663</v>
      </c>
      <c r="N669" t="s">
        <v>1664</v>
      </c>
      <c r="O669" t="s">
        <v>1665</v>
      </c>
      <c r="P669" t="s">
        <v>1666</v>
      </c>
      <c r="Q669" t="s">
        <v>1667</v>
      </c>
    </row>
    <row r="670" spans="1:17">
      <c r="A670" t="s">
        <v>1668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</row>
    <row r="671" spans="1:17">
      <c r="A671" t="s">
        <v>8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</row>
    <row r="672" spans="1:17">
      <c r="A672" t="s">
        <v>1669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</row>
    <row r="674" spans="1:17">
      <c r="B674" t="s">
        <v>1694</v>
      </c>
      <c r="C674">
        <v>3</v>
      </c>
      <c r="D674">
        <v>16</v>
      </c>
      <c r="E674">
        <v>1</v>
      </c>
    </row>
    <row r="675" spans="1:17">
      <c r="B675" t="s">
        <v>1652</v>
      </c>
      <c r="C675" t="s">
        <v>1653</v>
      </c>
      <c r="D675" t="s">
        <v>1654</v>
      </c>
      <c r="E675" t="s">
        <v>1655</v>
      </c>
      <c r="F675" t="s">
        <v>1656</v>
      </c>
      <c r="G675" t="s">
        <v>1657</v>
      </c>
      <c r="H675" t="s">
        <v>1658</v>
      </c>
      <c r="I675" t="s">
        <v>1659</v>
      </c>
      <c r="J675" t="s">
        <v>1660</v>
      </c>
      <c r="K675" t="s">
        <v>1661</v>
      </c>
      <c r="L675" t="s">
        <v>1662</v>
      </c>
      <c r="M675" t="s">
        <v>1663</v>
      </c>
      <c r="N675" t="s">
        <v>1664</v>
      </c>
      <c r="O675" t="s">
        <v>1665</v>
      </c>
      <c r="P675" t="s">
        <v>1666</v>
      </c>
      <c r="Q675" t="s">
        <v>1667</v>
      </c>
    </row>
    <row r="676" spans="1:17">
      <c r="A676" t="s">
        <v>1668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</row>
    <row r="677" spans="1:17">
      <c r="A677" t="s">
        <v>8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</row>
    <row r="678" spans="1:17">
      <c r="A678" t="s">
        <v>1669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</row>
    <row r="680" spans="1:17">
      <c r="B680" t="s">
        <v>1695</v>
      </c>
      <c r="C680">
        <v>3</v>
      </c>
      <c r="D680">
        <v>16</v>
      </c>
      <c r="E680">
        <v>1</v>
      </c>
    </row>
    <row r="681" spans="1:17">
      <c r="B681" t="s">
        <v>1652</v>
      </c>
      <c r="C681" t="s">
        <v>1653</v>
      </c>
      <c r="D681" t="s">
        <v>1654</v>
      </c>
      <c r="E681" t="s">
        <v>1655</v>
      </c>
      <c r="F681" t="s">
        <v>1656</v>
      </c>
      <c r="G681" t="s">
        <v>1657</v>
      </c>
      <c r="H681" t="s">
        <v>1658</v>
      </c>
      <c r="I681" t="s">
        <v>1659</v>
      </c>
      <c r="J681" t="s">
        <v>1660</v>
      </c>
      <c r="K681" t="s">
        <v>1661</v>
      </c>
      <c r="L681" t="s">
        <v>1662</v>
      </c>
      <c r="M681" t="s">
        <v>1663</v>
      </c>
      <c r="N681" t="s">
        <v>1664</v>
      </c>
      <c r="O681" t="s">
        <v>1665</v>
      </c>
      <c r="P681" t="s">
        <v>1666</v>
      </c>
      <c r="Q681" t="s">
        <v>1667</v>
      </c>
    </row>
    <row r="682" spans="1:17">
      <c r="A682" t="s">
        <v>1668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</row>
    <row r="683" spans="1:17">
      <c r="A683" t="s">
        <v>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</row>
    <row r="684" spans="1:17">
      <c r="A684" t="s">
        <v>1669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</row>
    <row r="686" spans="1:17">
      <c r="B686" t="s">
        <v>1696</v>
      </c>
      <c r="C686">
        <v>3</v>
      </c>
      <c r="D686">
        <v>16</v>
      </c>
      <c r="E686">
        <v>1</v>
      </c>
    </row>
    <row r="687" spans="1:17">
      <c r="B687" t="s">
        <v>1652</v>
      </c>
      <c r="C687" t="s">
        <v>1653</v>
      </c>
      <c r="D687" t="s">
        <v>1654</v>
      </c>
      <c r="E687" t="s">
        <v>1655</v>
      </c>
      <c r="F687" t="s">
        <v>1656</v>
      </c>
      <c r="G687" t="s">
        <v>1657</v>
      </c>
      <c r="H687" t="s">
        <v>1658</v>
      </c>
      <c r="I687" t="s">
        <v>1659</v>
      </c>
      <c r="J687" t="s">
        <v>1660</v>
      </c>
      <c r="K687" t="s">
        <v>1661</v>
      </c>
      <c r="L687" t="s">
        <v>1662</v>
      </c>
      <c r="M687" t="s">
        <v>1663</v>
      </c>
      <c r="N687" t="s">
        <v>1664</v>
      </c>
      <c r="O687" t="s">
        <v>1665</v>
      </c>
      <c r="P687" t="s">
        <v>1666</v>
      </c>
      <c r="Q687" t="s">
        <v>1667</v>
      </c>
    </row>
    <row r="688" spans="1:17">
      <c r="A688" t="s">
        <v>1668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</row>
    <row r="689" spans="1:17">
      <c r="A689" t="s">
        <v>8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</row>
    <row r="690" spans="1:17">
      <c r="A690" t="s">
        <v>1669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</row>
    <row r="692" spans="1:17">
      <c r="B692" t="s">
        <v>1697</v>
      </c>
      <c r="C692">
        <v>3</v>
      </c>
      <c r="D692">
        <v>16</v>
      </c>
      <c r="E692">
        <v>1</v>
      </c>
    </row>
    <row r="693" spans="1:17">
      <c r="B693" t="s">
        <v>1652</v>
      </c>
      <c r="C693" t="s">
        <v>1653</v>
      </c>
      <c r="D693" t="s">
        <v>1654</v>
      </c>
      <c r="E693" t="s">
        <v>1655</v>
      </c>
      <c r="F693" t="s">
        <v>1656</v>
      </c>
      <c r="G693" t="s">
        <v>1657</v>
      </c>
      <c r="H693" t="s">
        <v>1658</v>
      </c>
      <c r="I693" t="s">
        <v>1659</v>
      </c>
      <c r="J693" t="s">
        <v>1660</v>
      </c>
      <c r="K693" t="s">
        <v>1661</v>
      </c>
      <c r="L693" t="s">
        <v>1662</v>
      </c>
      <c r="M693" t="s">
        <v>1663</v>
      </c>
      <c r="N693" t="s">
        <v>1664</v>
      </c>
      <c r="O693" t="s">
        <v>1665</v>
      </c>
      <c r="P693" t="s">
        <v>1666</v>
      </c>
      <c r="Q693" t="s">
        <v>1667</v>
      </c>
    </row>
    <row r="694" spans="1:17">
      <c r="A694" t="s">
        <v>1668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</row>
    <row r="695" spans="1:17">
      <c r="A695" t="s">
        <v>8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</row>
    <row r="696" spans="1:17">
      <c r="A696" t="s">
        <v>1669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</row>
    <row r="698" spans="1:17">
      <c r="B698" t="s">
        <v>1698</v>
      </c>
      <c r="C698">
        <v>3</v>
      </c>
      <c r="D698">
        <v>16</v>
      </c>
      <c r="E698">
        <v>1</v>
      </c>
    </row>
    <row r="699" spans="1:17">
      <c r="B699" t="s">
        <v>1652</v>
      </c>
      <c r="C699" t="s">
        <v>1653</v>
      </c>
      <c r="D699" t="s">
        <v>1654</v>
      </c>
      <c r="E699" t="s">
        <v>1655</v>
      </c>
      <c r="F699" t="s">
        <v>1656</v>
      </c>
      <c r="G699" t="s">
        <v>1657</v>
      </c>
      <c r="H699" t="s">
        <v>1658</v>
      </c>
      <c r="I699" t="s">
        <v>1659</v>
      </c>
      <c r="J699" t="s">
        <v>1660</v>
      </c>
      <c r="K699" t="s">
        <v>1661</v>
      </c>
      <c r="L699" t="s">
        <v>1662</v>
      </c>
      <c r="M699" t="s">
        <v>1663</v>
      </c>
      <c r="N699" t="s">
        <v>1664</v>
      </c>
      <c r="O699" t="s">
        <v>1665</v>
      </c>
      <c r="P699" t="s">
        <v>1666</v>
      </c>
      <c r="Q699" t="s">
        <v>1667</v>
      </c>
    </row>
    <row r="700" spans="1:17">
      <c r="A700" t="s">
        <v>1668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</row>
    <row r="701" spans="1:17">
      <c r="A701" t="s">
        <v>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</row>
    <row r="702" spans="1:17">
      <c r="A702" t="s">
        <v>1669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</row>
    <row r="704" spans="1:17">
      <c r="B704" t="s">
        <v>1699</v>
      </c>
      <c r="C704">
        <v>3</v>
      </c>
      <c r="D704">
        <v>16</v>
      </c>
      <c r="E704">
        <v>1</v>
      </c>
    </row>
    <row r="705" spans="1:33">
      <c r="B705" t="s">
        <v>1652</v>
      </c>
      <c r="C705" t="s">
        <v>1653</v>
      </c>
      <c r="D705" t="s">
        <v>1654</v>
      </c>
      <c r="E705" t="s">
        <v>1655</v>
      </c>
      <c r="F705" t="s">
        <v>1656</v>
      </c>
      <c r="G705" t="s">
        <v>1657</v>
      </c>
      <c r="H705" t="s">
        <v>1658</v>
      </c>
      <c r="I705" t="s">
        <v>1659</v>
      </c>
      <c r="J705" t="s">
        <v>1660</v>
      </c>
      <c r="K705" t="s">
        <v>1661</v>
      </c>
      <c r="L705" t="s">
        <v>1662</v>
      </c>
      <c r="M705" t="s">
        <v>1663</v>
      </c>
      <c r="N705" t="s">
        <v>1664</v>
      </c>
      <c r="O705" t="s">
        <v>1665</v>
      </c>
      <c r="P705" t="s">
        <v>1666</v>
      </c>
      <c r="Q705" t="s">
        <v>1667</v>
      </c>
    </row>
    <row r="706" spans="1:33">
      <c r="A706" t="s">
        <v>1668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</row>
    <row r="707" spans="1:33">
      <c r="A707" t="s">
        <v>8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</row>
    <row r="708" spans="1:33">
      <c r="A708" t="s">
        <v>1669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</row>
    <row r="710" spans="1:33">
      <c r="B710" t="s">
        <v>1700</v>
      </c>
      <c r="C710">
        <v>3</v>
      </c>
      <c r="D710">
        <v>16</v>
      </c>
      <c r="E710">
        <v>1</v>
      </c>
    </row>
    <row r="711" spans="1:33">
      <c r="B711" t="s">
        <v>1652</v>
      </c>
      <c r="C711" t="s">
        <v>1653</v>
      </c>
      <c r="D711" t="s">
        <v>1654</v>
      </c>
      <c r="E711" t="s">
        <v>1655</v>
      </c>
      <c r="F711" t="s">
        <v>1656</v>
      </c>
      <c r="G711" t="s">
        <v>1657</v>
      </c>
      <c r="H711" t="s">
        <v>1658</v>
      </c>
      <c r="I711" t="s">
        <v>1659</v>
      </c>
      <c r="J711" t="s">
        <v>1660</v>
      </c>
      <c r="K711" t="s">
        <v>1661</v>
      </c>
      <c r="L711" t="s">
        <v>1662</v>
      </c>
      <c r="M711" t="s">
        <v>1663</v>
      </c>
      <c r="N711" t="s">
        <v>1664</v>
      </c>
      <c r="O711" t="s">
        <v>1665</v>
      </c>
      <c r="P711" t="s">
        <v>1666</v>
      </c>
      <c r="Q711" t="s">
        <v>1667</v>
      </c>
    </row>
    <row r="712" spans="1:33">
      <c r="A712" t="s">
        <v>1668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</row>
    <row r="713" spans="1:33">
      <c r="A713" t="s">
        <v>8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</row>
    <row r="714" spans="1:33">
      <c r="A714" t="s">
        <v>1669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</row>
    <row r="716" spans="1:33">
      <c r="B716" t="s">
        <v>1701</v>
      </c>
      <c r="C716">
        <v>1</v>
      </c>
      <c r="D716">
        <v>32</v>
      </c>
      <c r="E716">
        <v>1</v>
      </c>
    </row>
    <row r="717" spans="1:33">
      <c r="B717" t="s">
        <v>1702</v>
      </c>
      <c r="C717" t="s">
        <v>1703</v>
      </c>
      <c r="D717" t="s">
        <v>1704</v>
      </c>
      <c r="E717" t="s">
        <v>1705</v>
      </c>
      <c r="F717" t="s">
        <v>1706</v>
      </c>
      <c r="G717" t="s">
        <v>1707</v>
      </c>
      <c r="H717" t="s">
        <v>1708</v>
      </c>
      <c r="I717" t="s">
        <v>1709</v>
      </c>
      <c r="J717" t="s">
        <v>1710</v>
      </c>
      <c r="K717" t="s">
        <v>1711</v>
      </c>
      <c r="L717" t="s">
        <v>1712</v>
      </c>
      <c r="M717" t="s">
        <v>1713</v>
      </c>
      <c r="N717" t="s">
        <v>1714</v>
      </c>
      <c r="O717" t="s">
        <v>1715</v>
      </c>
      <c r="P717" t="s">
        <v>1716</v>
      </c>
      <c r="Q717" t="s">
        <v>1717</v>
      </c>
      <c r="R717" t="s">
        <v>1718</v>
      </c>
      <c r="S717" t="s">
        <v>1719</v>
      </c>
      <c r="T717" t="s">
        <v>1720</v>
      </c>
      <c r="U717" t="s">
        <v>1721</v>
      </c>
      <c r="V717" t="s">
        <v>1722</v>
      </c>
      <c r="W717" t="s">
        <v>1723</v>
      </c>
      <c r="X717" t="s">
        <v>1724</v>
      </c>
      <c r="Y717" t="s">
        <v>1725</v>
      </c>
      <c r="Z717" t="s">
        <v>1726</v>
      </c>
      <c r="AA717" t="s">
        <v>1727</v>
      </c>
      <c r="AB717" t="s">
        <v>1728</v>
      </c>
      <c r="AC717" t="s">
        <v>1729</v>
      </c>
      <c r="AD717" t="s">
        <v>1730</v>
      </c>
      <c r="AE717" t="s">
        <v>1731</v>
      </c>
      <c r="AF717" t="s">
        <v>1732</v>
      </c>
      <c r="AG717" t="s">
        <v>1733</v>
      </c>
    </row>
    <row r="718" spans="1:33">
      <c r="A718" t="s">
        <v>7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</row>
    <row r="720" spans="1:33">
      <c r="B720" t="s">
        <v>1734</v>
      </c>
      <c r="C720">
        <v>8</v>
      </c>
      <c r="D720">
        <v>8</v>
      </c>
      <c r="E720">
        <v>1</v>
      </c>
    </row>
    <row r="721" spans="1:9">
      <c r="B721" t="s">
        <v>1735</v>
      </c>
      <c r="C721" t="s">
        <v>1736</v>
      </c>
      <c r="D721" t="s">
        <v>1737</v>
      </c>
      <c r="E721" t="s">
        <v>1738</v>
      </c>
      <c r="F721" t="s">
        <v>1739</v>
      </c>
      <c r="G721" t="s">
        <v>1740</v>
      </c>
      <c r="H721" t="s">
        <v>1741</v>
      </c>
      <c r="I721" t="s">
        <v>1742</v>
      </c>
    </row>
    <row r="722" spans="1:9">
      <c r="A722" t="s">
        <v>1743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>
      <c r="A723" t="s">
        <v>1744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>
      <c r="A724" t="s">
        <v>36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>
      <c r="A725" t="s">
        <v>1745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>
      <c r="A726" t="s">
        <v>1746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>
      <c r="A727" t="s">
        <v>1747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>
      <c r="A728" t="s">
        <v>1748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>
      <c r="A729" t="s">
        <v>1749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1" spans="1:9">
      <c r="B731" t="s">
        <v>1750</v>
      </c>
      <c r="C731">
        <v>3</v>
      </c>
      <c r="D731">
        <v>1</v>
      </c>
      <c r="E731">
        <v>1</v>
      </c>
    </row>
    <row r="732" spans="1:9">
      <c r="B732" t="s">
        <v>1508</v>
      </c>
    </row>
    <row r="733" spans="1:9">
      <c r="A733" t="s">
        <v>1751</v>
      </c>
      <c r="B733" t="str">
        <f>"OFF"</f>
        <v>OFF</v>
      </c>
    </row>
    <row r="734" spans="1:9">
      <c r="A734" t="s">
        <v>1752</v>
      </c>
      <c r="B734">
        <v>5</v>
      </c>
    </row>
    <row r="735" spans="1:9">
      <c r="A735" t="s">
        <v>1753</v>
      </c>
      <c r="B735">
        <v>0</v>
      </c>
    </row>
    <row r="737" spans="1:129">
      <c r="B737" t="s">
        <v>1754</v>
      </c>
      <c r="C737">
        <v>9</v>
      </c>
      <c r="D737">
        <v>12</v>
      </c>
      <c r="E737">
        <v>1</v>
      </c>
    </row>
    <row r="738" spans="1:129">
      <c r="B738" t="s">
        <v>1755</v>
      </c>
      <c r="C738" t="s">
        <v>1756</v>
      </c>
      <c r="D738" t="s">
        <v>1757</v>
      </c>
      <c r="E738" t="s">
        <v>1758</v>
      </c>
      <c r="F738" t="s">
        <v>1759</v>
      </c>
      <c r="G738" t="s">
        <v>1760</v>
      </c>
      <c r="H738" t="s">
        <v>1761</v>
      </c>
      <c r="I738" t="s">
        <v>1762</v>
      </c>
      <c r="J738" t="s">
        <v>1763</v>
      </c>
      <c r="K738" t="s">
        <v>1764</v>
      </c>
      <c r="L738" t="s">
        <v>1765</v>
      </c>
      <c r="M738" t="s">
        <v>1766</v>
      </c>
    </row>
    <row r="739" spans="1:129">
      <c r="A739" t="s">
        <v>1767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</row>
    <row r="740" spans="1:129">
      <c r="A740" t="s">
        <v>1768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</row>
    <row r="741" spans="1:129">
      <c r="A741" t="s">
        <v>1769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</row>
    <row r="742" spans="1:129">
      <c r="A742" t="s">
        <v>1770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</row>
    <row r="743" spans="1:129">
      <c r="A743" t="s">
        <v>1771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</row>
    <row r="744" spans="1:129">
      <c r="A744" t="s">
        <v>1772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29">
      <c r="A745" t="s">
        <v>1773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</row>
    <row r="746" spans="1:129">
      <c r="A746" t="s">
        <v>1774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</row>
    <row r="747" spans="1:129">
      <c r="A747" t="s">
        <v>1775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</row>
    <row r="749" spans="1:129">
      <c r="B749" t="s">
        <v>1776</v>
      </c>
      <c r="C749">
        <v>1</v>
      </c>
      <c r="D749">
        <v>128</v>
      </c>
      <c r="E749">
        <v>1</v>
      </c>
    </row>
    <row r="750" spans="1:129">
      <c r="B750" t="s">
        <v>26</v>
      </c>
      <c r="C750" t="s">
        <v>27</v>
      </c>
      <c r="D750" t="s">
        <v>28</v>
      </c>
      <c r="E750" t="s">
        <v>29</v>
      </c>
      <c r="F750" t="s">
        <v>30</v>
      </c>
      <c r="G750" t="s">
        <v>31</v>
      </c>
      <c r="H750" t="s">
        <v>1777</v>
      </c>
      <c r="I750" t="s">
        <v>1778</v>
      </c>
      <c r="J750" t="s">
        <v>1779</v>
      </c>
      <c r="K750" t="s">
        <v>1780</v>
      </c>
      <c r="L750" t="s">
        <v>1781</v>
      </c>
      <c r="M750" t="s">
        <v>1782</v>
      </c>
      <c r="N750" t="s">
        <v>1783</v>
      </c>
      <c r="O750" t="s">
        <v>1784</v>
      </c>
      <c r="P750" t="s">
        <v>1785</v>
      </c>
      <c r="Q750" t="s">
        <v>1786</v>
      </c>
      <c r="R750" t="s">
        <v>1787</v>
      </c>
      <c r="S750" t="s">
        <v>1788</v>
      </c>
      <c r="T750" t="s">
        <v>1789</v>
      </c>
      <c r="U750" t="s">
        <v>1790</v>
      </c>
      <c r="V750" t="s">
        <v>1791</v>
      </c>
      <c r="W750" t="s">
        <v>1792</v>
      </c>
      <c r="X750" t="s">
        <v>1793</v>
      </c>
      <c r="Y750" t="s">
        <v>1794</v>
      </c>
      <c r="Z750" t="s">
        <v>1795</v>
      </c>
      <c r="AA750" t="s">
        <v>1796</v>
      </c>
      <c r="AB750" t="s">
        <v>1797</v>
      </c>
      <c r="AC750" t="s">
        <v>1798</v>
      </c>
      <c r="AD750" t="s">
        <v>1799</v>
      </c>
      <c r="AE750" t="s">
        <v>1800</v>
      </c>
      <c r="AF750" t="s">
        <v>1801</v>
      </c>
      <c r="AG750" t="s">
        <v>1802</v>
      </c>
      <c r="AH750" t="s">
        <v>1803</v>
      </c>
      <c r="AI750" t="s">
        <v>1804</v>
      </c>
      <c r="AJ750" t="s">
        <v>1805</v>
      </c>
      <c r="AK750" t="s">
        <v>1806</v>
      </c>
      <c r="AL750" t="s">
        <v>1807</v>
      </c>
      <c r="AM750" t="s">
        <v>1808</v>
      </c>
      <c r="AN750" t="s">
        <v>1809</v>
      </c>
      <c r="AO750" t="s">
        <v>1810</v>
      </c>
      <c r="AP750" t="s">
        <v>1811</v>
      </c>
      <c r="AQ750" t="s">
        <v>1812</v>
      </c>
      <c r="AR750" t="s">
        <v>1813</v>
      </c>
      <c r="AS750" t="s">
        <v>1814</v>
      </c>
      <c r="AT750" t="s">
        <v>1815</v>
      </c>
      <c r="AU750" t="s">
        <v>1816</v>
      </c>
      <c r="AV750" t="s">
        <v>1817</v>
      </c>
      <c r="AW750" t="s">
        <v>1818</v>
      </c>
      <c r="AX750" t="s">
        <v>1819</v>
      </c>
      <c r="AY750" t="s">
        <v>1820</v>
      </c>
      <c r="AZ750" t="s">
        <v>1821</v>
      </c>
      <c r="BA750" t="s">
        <v>1822</v>
      </c>
      <c r="BB750" t="s">
        <v>1823</v>
      </c>
      <c r="BC750" t="s">
        <v>1824</v>
      </c>
      <c r="BD750" t="s">
        <v>1825</v>
      </c>
      <c r="BE750" t="s">
        <v>1826</v>
      </c>
      <c r="BF750" t="s">
        <v>1827</v>
      </c>
      <c r="BG750" t="s">
        <v>1828</v>
      </c>
      <c r="BH750" t="s">
        <v>1829</v>
      </c>
      <c r="BI750" t="s">
        <v>1830</v>
      </c>
      <c r="BJ750" t="s">
        <v>1831</v>
      </c>
      <c r="BK750" t="s">
        <v>1832</v>
      </c>
      <c r="BL750" t="s">
        <v>1833</v>
      </c>
      <c r="BM750" t="s">
        <v>1834</v>
      </c>
      <c r="BN750" t="s">
        <v>1835</v>
      </c>
      <c r="BO750" t="s">
        <v>1836</v>
      </c>
      <c r="BP750" t="s">
        <v>1837</v>
      </c>
      <c r="BQ750" t="s">
        <v>1838</v>
      </c>
      <c r="BR750" t="s">
        <v>1839</v>
      </c>
      <c r="BS750" t="s">
        <v>1840</v>
      </c>
      <c r="BT750" t="s">
        <v>1841</v>
      </c>
      <c r="BU750" t="s">
        <v>1842</v>
      </c>
      <c r="BV750" t="s">
        <v>1843</v>
      </c>
      <c r="BW750" t="s">
        <v>1844</v>
      </c>
      <c r="BX750" t="s">
        <v>1845</v>
      </c>
      <c r="BY750" t="s">
        <v>1846</v>
      </c>
      <c r="BZ750" t="s">
        <v>1847</v>
      </c>
      <c r="CA750" t="s">
        <v>1848</v>
      </c>
      <c r="CB750" t="s">
        <v>1849</v>
      </c>
      <c r="CC750" t="s">
        <v>1850</v>
      </c>
      <c r="CD750" t="s">
        <v>1851</v>
      </c>
      <c r="CE750" t="s">
        <v>1852</v>
      </c>
      <c r="CF750" t="s">
        <v>1853</v>
      </c>
      <c r="CG750" t="s">
        <v>1854</v>
      </c>
      <c r="CH750" t="s">
        <v>1855</v>
      </c>
      <c r="CI750" t="s">
        <v>1856</v>
      </c>
      <c r="CJ750" t="s">
        <v>1857</v>
      </c>
      <c r="CK750" t="s">
        <v>1858</v>
      </c>
      <c r="CL750" t="s">
        <v>1859</v>
      </c>
      <c r="CM750" t="s">
        <v>1860</v>
      </c>
      <c r="CN750" t="s">
        <v>1861</v>
      </c>
      <c r="CO750" t="s">
        <v>1862</v>
      </c>
      <c r="CP750" t="s">
        <v>1863</v>
      </c>
      <c r="CQ750" t="s">
        <v>1864</v>
      </c>
      <c r="CR750" t="s">
        <v>1865</v>
      </c>
      <c r="CS750" t="s">
        <v>1866</v>
      </c>
      <c r="CT750" t="s">
        <v>1867</v>
      </c>
      <c r="CU750" t="s">
        <v>1868</v>
      </c>
      <c r="CV750" t="s">
        <v>1869</v>
      </c>
      <c r="CW750" t="s">
        <v>1870</v>
      </c>
      <c r="CX750" t="s">
        <v>1871</v>
      </c>
      <c r="CY750" t="s">
        <v>1872</v>
      </c>
      <c r="CZ750" t="s">
        <v>1873</v>
      </c>
      <c r="DA750" t="s">
        <v>1874</v>
      </c>
      <c r="DB750" t="s">
        <v>1875</v>
      </c>
      <c r="DC750" t="s">
        <v>1876</v>
      </c>
      <c r="DD750" t="s">
        <v>1877</v>
      </c>
      <c r="DE750" t="s">
        <v>1878</v>
      </c>
      <c r="DF750" t="s">
        <v>1879</v>
      </c>
      <c r="DG750" t="s">
        <v>1880</v>
      </c>
      <c r="DH750" t="s">
        <v>1881</v>
      </c>
      <c r="DI750" t="s">
        <v>1882</v>
      </c>
      <c r="DJ750" t="s">
        <v>1883</v>
      </c>
      <c r="DK750" t="s">
        <v>1884</v>
      </c>
      <c r="DL750" t="s">
        <v>1885</v>
      </c>
      <c r="DM750" t="s">
        <v>1886</v>
      </c>
      <c r="DN750" t="s">
        <v>1887</v>
      </c>
      <c r="DO750" t="s">
        <v>1888</v>
      </c>
      <c r="DP750" t="s">
        <v>1889</v>
      </c>
      <c r="DQ750" t="s">
        <v>1890</v>
      </c>
      <c r="DR750" t="s">
        <v>1891</v>
      </c>
      <c r="DS750" t="s">
        <v>1892</v>
      </c>
      <c r="DT750" t="s">
        <v>1893</v>
      </c>
      <c r="DU750" t="s">
        <v>1894</v>
      </c>
      <c r="DV750" t="s">
        <v>1895</v>
      </c>
      <c r="DW750" t="s">
        <v>1896</v>
      </c>
      <c r="DX750" t="s">
        <v>1897</v>
      </c>
      <c r="DY750" t="s">
        <v>1898</v>
      </c>
    </row>
    <row r="751" spans="1:129">
      <c r="A751" t="s">
        <v>1899</v>
      </c>
      <c r="B751" t="str">
        <f>"On"</f>
        <v>On</v>
      </c>
      <c r="C751" t="str">
        <f>"On"</f>
        <v>On</v>
      </c>
      <c r="D751" t="str">
        <f>"Off"</f>
        <v>Off</v>
      </c>
      <c r="E751" t="str">
        <f>"On"</f>
        <v>On</v>
      </c>
      <c r="F751" t="str">
        <f t="shared" ref="F751:L751" si="142">"Off"</f>
        <v>Off</v>
      </c>
      <c r="G751" t="str">
        <f t="shared" si="142"/>
        <v>Off</v>
      </c>
      <c r="H751" t="str">
        <f t="shared" si="142"/>
        <v>Off</v>
      </c>
      <c r="I751" t="str">
        <f t="shared" si="142"/>
        <v>Off</v>
      </c>
      <c r="J751" t="str">
        <f t="shared" si="142"/>
        <v>Off</v>
      </c>
      <c r="K751" t="str">
        <f t="shared" si="142"/>
        <v>Off</v>
      </c>
      <c r="L751" t="str">
        <f t="shared" si="142"/>
        <v>Off</v>
      </c>
      <c r="M751" t="str">
        <f>"On"</f>
        <v>On</v>
      </c>
      <c r="N751" t="str">
        <f>"Off"</f>
        <v>Off</v>
      </c>
      <c r="O751" t="str">
        <f>"On"</f>
        <v>On</v>
      </c>
      <c r="P751" t="str">
        <f>"Off"</f>
        <v>Off</v>
      </c>
      <c r="Q751" t="str">
        <f>"On"</f>
        <v>On</v>
      </c>
      <c r="R751" t="str">
        <f>"Off"</f>
        <v>Off</v>
      </c>
      <c r="S751" t="str">
        <f>"Off"</f>
        <v>Off</v>
      </c>
      <c r="T751" t="str">
        <f>"On"</f>
        <v>On</v>
      </c>
      <c r="U751" t="str">
        <f>"On"</f>
        <v>On</v>
      </c>
      <c r="V751" t="str">
        <f>"Off"</f>
        <v>Off</v>
      </c>
      <c r="W751" t="str">
        <f>"Off"</f>
        <v>Off</v>
      </c>
      <c r="X751" t="str">
        <f>"Off"</f>
        <v>Off</v>
      </c>
      <c r="Y751" t="str">
        <f>"Off"</f>
        <v>Off</v>
      </c>
      <c r="Z751" t="str">
        <f>"On"</f>
        <v>On</v>
      </c>
      <c r="AA751" t="str">
        <f>"Off"</f>
        <v>Off</v>
      </c>
      <c r="AB751" t="str">
        <f>"Off"</f>
        <v>Off</v>
      </c>
      <c r="AC751" t="str">
        <f>"Off"</f>
        <v>Off</v>
      </c>
      <c r="AD751" t="str">
        <f>"Off"</f>
        <v>Off</v>
      </c>
      <c r="AE751" t="str">
        <f>"On"</f>
        <v>On</v>
      </c>
      <c r="AF751" t="str">
        <f>"Off"</f>
        <v>Off</v>
      </c>
      <c r="AG751" t="str">
        <f>"On"</f>
        <v>On</v>
      </c>
      <c r="AH751" t="str">
        <f>"Off"</f>
        <v>Off</v>
      </c>
      <c r="AI751" t="str">
        <f>"Off"</f>
        <v>Off</v>
      </c>
      <c r="AJ751" t="str">
        <f>"Off"</f>
        <v>Off</v>
      </c>
      <c r="AK751" t="str">
        <f>"Off"</f>
        <v>Off</v>
      </c>
      <c r="AL751" t="str">
        <f>"On"</f>
        <v>On</v>
      </c>
      <c r="AM751" t="str">
        <f>"Off"</f>
        <v>Off</v>
      </c>
      <c r="AN751" t="str">
        <f>"Off"</f>
        <v>Off</v>
      </c>
      <c r="AO751" t="str">
        <f>"On"</f>
        <v>On</v>
      </c>
      <c r="AP751" t="str">
        <f>"Off"</f>
        <v>Off</v>
      </c>
      <c r="AQ751" t="str">
        <f>"Off"</f>
        <v>Off</v>
      </c>
      <c r="AR751" t="str">
        <f>"On"</f>
        <v>On</v>
      </c>
      <c r="AS751" t="str">
        <f>"On"</f>
        <v>On</v>
      </c>
      <c r="AT751" t="str">
        <f>"Off"</f>
        <v>Off</v>
      </c>
      <c r="AU751" t="str">
        <f>"Off"</f>
        <v>Off</v>
      </c>
      <c r="AV751" t="str">
        <f>"Off"</f>
        <v>Off</v>
      </c>
      <c r="AW751" t="str">
        <f>"Off"</f>
        <v>Off</v>
      </c>
      <c r="AX751" t="str">
        <f t="shared" ref="AX751:BC751" si="143">"On"</f>
        <v>On</v>
      </c>
      <c r="AY751" t="str">
        <f t="shared" si="143"/>
        <v>On</v>
      </c>
      <c r="AZ751" t="str">
        <f t="shared" si="143"/>
        <v>On</v>
      </c>
      <c r="BA751" t="str">
        <f t="shared" si="143"/>
        <v>On</v>
      </c>
      <c r="BB751" t="str">
        <f t="shared" si="143"/>
        <v>On</v>
      </c>
      <c r="BC751" t="str">
        <f t="shared" si="143"/>
        <v>On</v>
      </c>
      <c r="BD751" t="str">
        <f>"Off"</f>
        <v>Off</v>
      </c>
      <c r="BE751" t="str">
        <f>"Off"</f>
        <v>Off</v>
      </c>
      <c r="BF751" t="str">
        <f>"Off"</f>
        <v>Off</v>
      </c>
      <c r="BG751" t="str">
        <f>"Off"</f>
        <v>Off</v>
      </c>
      <c r="BH751" t="str">
        <f>"On"</f>
        <v>On</v>
      </c>
      <c r="BI751" t="str">
        <f>"On"</f>
        <v>On</v>
      </c>
      <c r="BJ751" t="str">
        <f t="shared" ref="BJ751:BU751" si="144">"Off"</f>
        <v>Off</v>
      </c>
      <c r="BK751" t="str">
        <f t="shared" si="144"/>
        <v>Off</v>
      </c>
      <c r="BL751" t="str">
        <f t="shared" si="144"/>
        <v>Off</v>
      </c>
      <c r="BM751" t="str">
        <f t="shared" si="144"/>
        <v>Off</v>
      </c>
      <c r="BN751" t="str">
        <f t="shared" si="144"/>
        <v>Off</v>
      </c>
      <c r="BO751" t="str">
        <f t="shared" si="144"/>
        <v>Off</v>
      </c>
      <c r="BP751" t="str">
        <f t="shared" si="144"/>
        <v>Off</v>
      </c>
      <c r="BQ751" t="str">
        <f t="shared" si="144"/>
        <v>Off</v>
      </c>
      <c r="BR751" t="str">
        <f t="shared" si="144"/>
        <v>Off</v>
      </c>
      <c r="BS751" t="str">
        <f t="shared" si="144"/>
        <v>Off</v>
      </c>
      <c r="BT751" t="str">
        <f t="shared" si="144"/>
        <v>Off</v>
      </c>
      <c r="BU751" t="str">
        <f t="shared" si="144"/>
        <v>Off</v>
      </c>
      <c r="BV751" t="str">
        <f>"On"</f>
        <v>On</v>
      </c>
      <c r="BW751" t="str">
        <f t="shared" ref="BW751:CC751" si="145">"Off"</f>
        <v>Off</v>
      </c>
      <c r="BX751" t="str">
        <f t="shared" si="145"/>
        <v>Off</v>
      </c>
      <c r="BY751" t="str">
        <f t="shared" si="145"/>
        <v>Off</v>
      </c>
      <c r="BZ751" t="str">
        <f t="shared" si="145"/>
        <v>Off</v>
      </c>
      <c r="CA751" t="str">
        <f t="shared" si="145"/>
        <v>Off</v>
      </c>
      <c r="CB751" t="str">
        <f t="shared" si="145"/>
        <v>Off</v>
      </c>
      <c r="CC751" t="str">
        <f t="shared" si="145"/>
        <v>Off</v>
      </c>
      <c r="CD751" t="str">
        <f>"On"</f>
        <v>On</v>
      </c>
      <c r="CE751" t="str">
        <f t="shared" ref="CE751:DY751" si="146">"Off"</f>
        <v>Off</v>
      </c>
      <c r="CF751" t="str">
        <f t="shared" si="146"/>
        <v>Off</v>
      </c>
      <c r="CG751" t="str">
        <f t="shared" si="146"/>
        <v>Off</v>
      </c>
      <c r="CH751" t="str">
        <f t="shared" si="146"/>
        <v>Off</v>
      </c>
      <c r="CI751" t="str">
        <f t="shared" si="146"/>
        <v>Off</v>
      </c>
      <c r="CJ751" t="str">
        <f t="shared" si="146"/>
        <v>Off</v>
      </c>
      <c r="CK751" t="str">
        <f t="shared" si="146"/>
        <v>Off</v>
      </c>
      <c r="CL751" t="str">
        <f t="shared" si="146"/>
        <v>Off</v>
      </c>
      <c r="CM751" t="str">
        <f t="shared" si="146"/>
        <v>Off</v>
      </c>
      <c r="CN751" t="str">
        <f t="shared" si="146"/>
        <v>Off</v>
      </c>
      <c r="CO751" t="str">
        <f t="shared" si="146"/>
        <v>Off</v>
      </c>
      <c r="CP751" t="str">
        <f t="shared" si="146"/>
        <v>Off</v>
      </c>
      <c r="CQ751" t="str">
        <f t="shared" si="146"/>
        <v>Off</v>
      </c>
      <c r="CR751" t="str">
        <f t="shared" si="146"/>
        <v>Off</v>
      </c>
      <c r="CS751" t="str">
        <f t="shared" si="146"/>
        <v>Off</v>
      </c>
      <c r="CT751" t="str">
        <f t="shared" si="146"/>
        <v>Off</v>
      </c>
      <c r="CU751" t="str">
        <f t="shared" si="146"/>
        <v>Off</v>
      </c>
      <c r="CV751" t="str">
        <f t="shared" si="146"/>
        <v>Off</v>
      </c>
      <c r="CW751" t="str">
        <f t="shared" si="146"/>
        <v>Off</v>
      </c>
      <c r="CX751" t="str">
        <f t="shared" si="146"/>
        <v>Off</v>
      </c>
      <c r="CY751" t="str">
        <f t="shared" si="146"/>
        <v>Off</v>
      </c>
      <c r="CZ751" t="str">
        <f t="shared" si="146"/>
        <v>Off</v>
      </c>
      <c r="DA751" t="str">
        <f t="shared" si="146"/>
        <v>Off</v>
      </c>
      <c r="DB751" t="str">
        <f t="shared" si="146"/>
        <v>Off</v>
      </c>
      <c r="DC751" t="str">
        <f t="shared" si="146"/>
        <v>Off</v>
      </c>
      <c r="DD751" t="str">
        <f t="shared" si="146"/>
        <v>Off</v>
      </c>
      <c r="DE751" t="str">
        <f t="shared" si="146"/>
        <v>Off</v>
      </c>
      <c r="DF751" t="str">
        <f t="shared" si="146"/>
        <v>Off</v>
      </c>
      <c r="DG751" t="str">
        <f t="shared" si="146"/>
        <v>Off</v>
      </c>
      <c r="DH751" t="str">
        <f t="shared" si="146"/>
        <v>Off</v>
      </c>
      <c r="DI751" t="str">
        <f t="shared" si="146"/>
        <v>Off</v>
      </c>
      <c r="DJ751" t="str">
        <f t="shared" si="146"/>
        <v>Off</v>
      </c>
      <c r="DK751" t="str">
        <f t="shared" si="146"/>
        <v>Off</v>
      </c>
      <c r="DL751" t="str">
        <f t="shared" si="146"/>
        <v>Off</v>
      </c>
      <c r="DM751" t="str">
        <f t="shared" si="146"/>
        <v>Off</v>
      </c>
      <c r="DN751" t="str">
        <f t="shared" si="146"/>
        <v>Off</v>
      </c>
      <c r="DO751" t="str">
        <f t="shared" si="146"/>
        <v>Off</v>
      </c>
      <c r="DP751" t="str">
        <f t="shared" si="146"/>
        <v>Off</v>
      </c>
      <c r="DQ751" t="str">
        <f t="shared" si="146"/>
        <v>Off</v>
      </c>
      <c r="DR751" t="str">
        <f t="shared" si="146"/>
        <v>Off</v>
      </c>
      <c r="DS751" t="str">
        <f t="shared" si="146"/>
        <v>Off</v>
      </c>
      <c r="DT751" t="str">
        <f t="shared" si="146"/>
        <v>Off</v>
      </c>
      <c r="DU751" t="str">
        <f t="shared" si="146"/>
        <v>Off</v>
      </c>
      <c r="DV751" t="str">
        <f t="shared" si="146"/>
        <v>Off</v>
      </c>
      <c r="DW751" t="str">
        <f t="shared" si="146"/>
        <v>Off</v>
      </c>
      <c r="DX751" t="str">
        <f t="shared" si="146"/>
        <v>Off</v>
      </c>
      <c r="DY751" t="str">
        <f t="shared" si="146"/>
        <v>Off</v>
      </c>
    </row>
    <row r="753" spans="1:129">
      <c r="B753" t="s">
        <v>1900</v>
      </c>
      <c r="C753">
        <v>1</v>
      </c>
      <c r="D753">
        <v>128</v>
      </c>
      <c r="E753">
        <v>1</v>
      </c>
    </row>
    <row r="754" spans="1:129">
      <c r="B754" t="s">
        <v>1652</v>
      </c>
      <c r="C754" t="s">
        <v>1653</v>
      </c>
      <c r="D754" t="s">
        <v>1654</v>
      </c>
      <c r="E754" t="s">
        <v>1655</v>
      </c>
      <c r="F754" t="s">
        <v>1656</v>
      </c>
      <c r="G754" t="s">
        <v>1657</v>
      </c>
      <c r="H754" t="s">
        <v>1658</v>
      </c>
      <c r="I754" t="s">
        <v>1659</v>
      </c>
      <c r="J754" t="s">
        <v>1660</v>
      </c>
      <c r="K754" t="s">
        <v>1661</v>
      </c>
      <c r="L754" t="s">
        <v>1662</v>
      </c>
      <c r="M754" t="s">
        <v>1663</v>
      </c>
      <c r="N754" t="s">
        <v>1664</v>
      </c>
      <c r="O754" t="s">
        <v>1665</v>
      </c>
      <c r="P754" t="s">
        <v>1666</v>
      </c>
      <c r="Q754" t="s">
        <v>1667</v>
      </c>
      <c r="R754" t="s">
        <v>1901</v>
      </c>
      <c r="S754" t="s">
        <v>1902</v>
      </c>
      <c r="T754" t="s">
        <v>1903</v>
      </c>
      <c r="U754" t="s">
        <v>1904</v>
      </c>
      <c r="V754" t="s">
        <v>1905</v>
      </c>
      <c r="W754" t="s">
        <v>1906</v>
      </c>
      <c r="X754" t="s">
        <v>1907</v>
      </c>
      <c r="Y754" t="s">
        <v>1908</v>
      </c>
      <c r="Z754" t="s">
        <v>1909</v>
      </c>
      <c r="AA754" t="s">
        <v>1910</v>
      </c>
      <c r="AB754" t="s">
        <v>1911</v>
      </c>
      <c r="AC754" t="s">
        <v>1912</v>
      </c>
      <c r="AD754" t="s">
        <v>1913</v>
      </c>
      <c r="AE754" t="s">
        <v>1914</v>
      </c>
      <c r="AF754" t="s">
        <v>1915</v>
      </c>
      <c r="AG754" t="s">
        <v>1916</v>
      </c>
      <c r="AH754" t="s">
        <v>1917</v>
      </c>
      <c r="AI754" t="s">
        <v>1918</v>
      </c>
      <c r="AJ754" t="s">
        <v>1919</v>
      </c>
      <c r="AK754" t="s">
        <v>1920</v>
      </c>
      <c r="AL754" t="s">
        <v>1921</v>
      </c>
      <c r="AM754" t="s">
        <v>1922</v>
      </c>
      <c r="AN754" t="s">
        <v>1923</v>
      </c>
      <c r="AO754" t="s">
        <v>1924</v>
      </c>
      <c r="AP754" t="s">
        <v>1925</v>
      </c>
      <c r="AQ754" t="s">
        <v>1926</v>
      </c>
      <c r="AR754" t="s">
        <v>1927</v>
      </c>
      <c r="AS754" t="s">
        <v>1928</v>
      </c>
      <c r="AT754" t="s">
        <v>1929</v>
      </c>
      <c r="AU754" t="s">
        <v>1930</v>
      </c>
      <c r="AV754" t="s">
        <v>1931</v>
      </c>
      <c r="AW754" t="s">
        <v>1932</v>
      </c>
      <c r="AX754" t="s">
        <v>1933</v>
      </c>
      <c r="AY754" t="s">
        <v>1934</v>
      </c>
      <c r="AZ754" t="s">
        <v>1935</v>
      </c>
      <c r="BA754" t="s">
        <v>1936</v>
      </c>
      <c r="BB754" t="s">
        <v>1937</v>
      </c>
      <c r="BC754" t="s">
        <v>1938</v>
      </c>
      <c r="BD754" t="s">
        <v>1939</v>
      </c>
      <c r="BE754" t="s">
        <v>1940</v>
      </c>
      <c r="BF754" t="s">
        <v>1941</v>
      </c>
      <c r="BG754" t="s">
        <v>1942</v>
      </c>
      <c r="BH754" t="s">
        <v>1943</v>
      </c>
      <c r="BI754" t="s">
        <v>1944</v>
      </c>
      <c r="BJ754" t="s">
        <v>1945</v>
      </c>
      <c r="BK754" t="s">
        <v>1946</v>
      </c>
      <c r="BL754" t="s">
        <v>1947</v>
      </c>
      <c r="BM754" t="s">
        <v>1948</v>
      </c>
      <c r="BN754" t="s">
        <v>1949</v>
      </c>
      <c r="BO754" t="s">
        <v>1950</v>
      </c>
      <c r="BP754" t="s">
        <v>1951</v>
      </c>
      <c r="BQ754" t="s">
        <v>1952</v>
      </c>
      <c r="BR754" t="s">
        <v>1953</v>
      </c>
      <c r="BS754" t="s">
        <v>1954</v>
      </c>
      <c r="BT754" t="s">
        <v>1955</v>
      </c>
      <c r="BU754" t="s">
        <v>1956</v>
      </c>
      <c r="BV754" t="s">
        <v>1957</v>
      </c>
      <c r="BW754" t="s">
        <v>1958</v>
      </c>
      <c r="BX754" t="s">
        <v>1959</v>
      </c>
      <c r="BY754" t="s">
        <v>1960</v>
      </c>
      <c r="BZ754" t="s">
        <v>1961</v>
      </c>
      <c r="CA754" t="s">
        <v>1962</v>
      </c>
      <c r="CB754" t="s">
        <v>1963</v>
      </c>
      <c r="CC754" t="s">
        <v>1964</v>
      </c>
      <c r="CD754" t="s">
        <v>1965</v>
      </c>
      <c r="CE754" t="s">
        <v>1966</v>
      </c>
      <c r="CF754" t="s">
        <v>1967</v>
      </c>
      <c r="CG754" t="s">
        <v>1968</v>
      </c>
      <c r="CH754" t="s">
        <v>1969</v>
      </c>
      <c r="CI754" t="s">
        <v>1970</v>
      </c>
      <c r="CJ754" t="s">
        <v>1971</v>
      </c>
      <c r="CK754" t="s">
        <v>1972</v>
      </c>
      <c r="CL754" t="s">
        <v>1973</v>
      </c>
      <c r="CM754" t="s">
        <v>1974</v>
      </c>
      <c r="CN754" t="s">
        <v>1975</v>
      </c>
      <c r="CO754" t="s">
        <v>1976</v>
      </c>
      <c r="CP754" t="s">
        <v>1977</v>
      </c>
      <c r="CQ754" t="s">
        <v>1978</v>
      </c>
      <c r="CR754" t="s">
        <v>1979</v>
      </c>
      <c r="CS754" t="s">
        <v>1980</v>
      </c>
      <c r="CT754" t="s">
        <v>1981</v>
      </c>
      <c r="CU754" t="s">
        <v>1982</v>
      </c>
      <c r="CV754" t="s">
        <v>1983</v>
      </c>
      <c r="CW754" t="s">
        <v>1984</v>
      </c>
      <c r="CX754" t="s">
        <v>1985</v>
      </c>
      <c r="CY754" t="s">
        <v>1986</v>
      </c>
      <c r="CZ754" t="s">
        <v>1987</v>
      </c>
      <c r="DA754" t="s">
        <v>1988</v>
      </c>
      <c r="DB754" t="s">
        <v>1989</v>
      </c>
      <c r="DC754" t="s">
        <v>1990</v>
      </c>
      <c r="DD754" t="s">
        <v>1991</v>
      </c>
      <c r="DE754" t="s">
        <v>1992</v>
      </c>
      <c r="DF754" t="s">
        <v>1993</v>
      </c>
      <c r="DG754" t="s">
        <v>1994</v>
      </c>
      <c r="DH754" t="s">
        <v>1995</v>
      </c>
      <c r="DI754" t="s">
        <v>1996</v>
      </c>
      <c r="DJ754" t="s">
        <v>1997</v>
      </c>
      <c r="DK754" t="s">
        <v>1998</v>
      </c>
      <c r="DL754" t="s">
        <v>1999</v>
      </c>
      <c r="DM754" t="s">
        <v>2000</v>
      </c>
      <c r="DN754" t="s">
        <v>2001</v>
      </c>
      <c r="DO754" t="s">
        <v>2002</v>
      </c>
      <c r="DP754" t="s">
        <v>2003</v>
      </c>
      <c r="DQ754" t="s">
        <v>2004</v>
      </c>
      <c r="DR754" t="s">
        <v>2005</v>
      </c>
      <c r="DS754" t="s">
        <v>2006</v>
      </c>
      <c r="DT754" t="s">
        <v>2007</v>
      </c>
      <c r="DU754" t="s">
        <v>2008</v>
      </c>
      <c r="DV754" t="s">
        <v>2009</v>
      </c>
      <c r="DW754" t="s">
        <v>2010</v>
      </c>
      <c r="DX754" t="s">
        <v>2011</v>
      </c>
      <c r="DY754" t="s">
        <v>2012</v>
      </c>
    </row>
    <row r="755" spans="1:129">
      <c r="A755" t="s">
        <v>2013</v>
      </c>
      <c r="B755" t="str">
        <f>"On"</f>
        <v>On</v>
      </c>
      <c r="C755" t="str">
        <f>"On"</f>
        <v>On</v>
      </c>
      <c r="D755" t="str">
        <f>"Off"</f>
        <v>Off</v>
      </c>
      <c r="E755" t="str">
        <f>"On"</f>
        <v>On</v>
      </c>
      <c r="F755" t="str">
        <f t="shared" ref="F755:L755" si="147">"Off"</f>
        <v>Off</v>
      </c>
      <c r="G755" t="str">
        <f t="shared" si="147"/>
        <v>Off</v>
      </c>
      <c r="H755" t="str">
        <f t="shared" si="147"/>
        <v>Off</v>
      </c>
      <c r="I755" t="str">
        <f t="shared" si="147"/>
        <v>Off</v>
      </c>
      <c r="J755" t="str">
        <f t="shared" si="147"/>
        <v>Off</v>
      </c>
      <c r="K755" t="str">
        <f t="shared" si="147"/>
        <v>Off</v>
      </c>
      <c r="L755" t="str">
        <f t="shared" si="147"/>
        <v>Off</v>
      </c>
      <c r="M755" t="str">
        <f>"On"</f>
        <v>On</v>
      </c>
      <c r="N755" t="str">
        <f>"Off"</f>
        <v>Off</v>
      </c>
      <c r="O755" t="str">
        <f>"On"</f>
        <v>On</v>
      </c>
      <c r="P755" t="str">
        <f>"Off"</f>
        <v>Off</v>
      </c>
      <c r="Q755" t="str">
        <f>"On"</f>
        <v>On</v>
      </c>
      <c r="R755" t="str">
        <f>"On"</f>
        <v>On</v>
      </c>
      <c r="S755" t="str">
        <f>"On"</f>
        <v>On</v>
      </c>
      <c r="T755" t="str">
        <f>"On"</f>
        <v>On</v>
      </c>
      <c r="U755" t="str">
        <f>"On"</f>
        <v>On</v>
      </c>
      <c r="V755" t="str">
        <f>"Off"</f>
        <v>Off</v>
      </c>
      <c r="W755" t="str">
        <f>"Off"</f>
        <v>Off</v>
      </c>
      <c r="X755" t="str">
        <f>"Off"</f>
        <v>Off</v>
      </c>
      <c r="Y755" t="str">
        <f>"Off"</f>
        <v>Off</v>
      </c>
      <c r="Z755" t="str">
        <f>"On"</f>
        <v>On</v>
      </c>
      <c r="AA755" t="str">
        <f>"Off"</f>
        <v>Off</v>
      </c>
      <c r="AB755" t="str">
        <f>"Off"</f>
        <v>Off</v>
      </c>
      <c r="AC755" t="str">
        <f>"Off"</f>
        <v>Off</v>
      </c>
      <c r="AD755" t="str">
        <f>"Off"</f>
        <v>Off</v>
      </c>
      <c r="AE755" t="str">
        <f>"On"</f>
        <v>On</v>
      </c>
      <c r="AF755" t="str">
        <f>"Off"</f>
        <v>Off</v>
      </c>
      <c r="AG755" t="str">
        <f>"On"</f>
        <v>On</v>
      </c>
      <c r="AH755" t="str">
        <f>"Off"</f>
        <v>Off</v>
      </c>
      <c r="AI755" t="str">
        <f>"Off"</f>
        <v>Off</v>
      </c>
      <c r="AJ755" t="str">
        <f>"Off"</f>
        <v>Off</v>
      </c>
      <c r="AK755" t="str">
        <f>"Off"</f>
        <v>Off</v>
      </c>
      <c r="AL755" t="str">
        <f>"On"</f>
        <v>On</v>
      </c>
      <c r="AM755" t="str">
        <f>"Off"</f>
        <v>Off</v>
      </c>
      <c r="AN755" t="str">
        <f>"Off"</f>
        <v>Off</v>
      </c>
      <c r="AO755" t="str">
        <f>"On"</f>
        <v>On</v>
      </c>
      <c r="AP755" t="str">
        <f>"Off"</f>
        <v>Off</v>
      </c>
      <c r="AQ755" t="str">
        <f>"Off"</f>
        <v>Off</v>
      </c>
      <c r="AR755" t="str">
        <f>"On"</f>
        <v>On</v>
      </c>
      <c r="AS755" t="str">
        <f>"On"</f>
        <v>On</v>
      </c>
      <c r="AT755" t="str">
        <f>"Off"</f>
        <v>Off</v>
      </c>
      <c r="AU755" t="str">
        <f>"Off"</f>
        <v>Off</v>
      </c>
      <c r="AV755" t="str">
        <f>"Off"</f>
        <v>Off</v>
      </c>
      <c r="AW755" t="str">
        <f>"Off"</f>
        <v>Off</v>
      </c>
      <c r="AX755" t="str">
        <f t="shared" ref="AX755:BC755" si="148">"On"</f>
        <v>On</v>
      </c>
      <c r="AY755" t="str">
        <f t="shared" si="148"/>
        <v>On</v>
      </c>
      <c r="AZ755" t="str">
        <f t="shared" si="148"/>
        <v>On</v>
      </c>
      <c r="BA755" t="str">
        <f t="shared" si="148"/>
        <v>On</v>
      </c>
      <c r="BB755" t="str">
        <f t="shared" si="148"/>
        <v>On</v>
      </c>
      <c r="BC755" t="str">
        <f t="shared" si="148"/>
        <v>On</v>
      </c>
      <c r="BD755" t="str">
        <f>"Off"</f>
        <v>Off</v>
      </c>
      <c r="BE755" t="str">
        <f>"Off"</f>
        <v>Off</v>
      </c>
      <c r="BF755" t="str">
        <f>"Off"</f>
        <v>Off</v>
      </c>
      <c r="BG755" t="str">
        <f>"Off"</f>
        <v>Off</v>
      </c>
      <c r="BH755" t="str">
        <f>"On"</f>
        <v>On</v>
      </c>
      <c r="BI755" t="str">
        <f>"On"</f>
        <v>On</v>
      </c>
      <c r="BJ755" t="str">
        <f t="shared" ref="BJ755:BU755" si="149">"Off"</f>
        <v>Off</v>
      </c>
      <c r="BK755" t="str">
        <f t="shared" si="149"/>
        <v>Off</v>
      </c>
      <c r="BL755" t="str">
        <f t="shared" si="149"/>
        <v>Off</v>
      </c>
      <c r="BM755" t="str">
        <f t="shared" si="149"/>
        <v>Off</v>
      </c>
      <c r="BN755" t="str">
        <f t="shared" si="149"/>
        <v>Off</v>
      </c>
      <c r="BO755" t="str">
        <f t="shared" si="149"/>
        <v>Off</v>
      </c>
      <c r="BP755" t="str">
        <f t="shared" si="149"/>
        <v>Off</v>
      </c>
      <c r="BQ755" t="str">
        <f t="shared" si="149"/>
        <v>Off</v>
      </c>
      <c r="BR755" t="str">
        <f t="shared" si="149"/>
        <v>Off</v>
      </c>
      <c r="BS755" t="str">
        <f t="shared" si="149"/>
        <v>Off</v>
      </c>
      <c r="BT755" t="str">
        <f t="shared" si="149"/>
        <v>Off</v>
      </c>
      <c r="BU755" t="str">
        <f t="shared" si="149"/>
        <v>Off</v>
      </c>
      <c r="BV755" t="str">
        <f>"On"</f>
        <v>On</v>
      </c>
      <c r="BW755" t="str">
        <f t="shared" ref="BW755:CC755" si="150">"Off"</f>
        <v>Off</v>
      </c>
      <c r="BX755" t="str">
        <f t="shared" si="150"/>
        <v>Off</v>
      </c>
      <c r="BY755" t="str">
        <f t="shared" si="150"/>
        <v>Off</v>
      </c>
      <c r="BZ755" t="str">
        <f t="shared" si="150"/>
        <v>Off</v>
      </c>
      <c r="CA755" t="str">
        <f t="shared" si="150"/>
        <v>Off</v>
      </c>
      <c r="CB755" t="str">
        <f t="shared" si="150"/>
        <v>Off</v>
      </c>
      <c r="CC755" t="str">
        <f t="shared" si="150"/>
        <v>Off</v>
      </c>
      <c r="CD755" t="str">
        <f>"On"</f>
        <v>On</v>
      </c>
      <c r="CE755" t="str">
        <f t="shared" ref="CE755:DY755" si="151">"Off"</f>
        <v>Off</v>
      </c>
      <c r="CF755" t="str">
        <f t="shared" si="151"/>
        <v>Off</v>
      </c>
      <c r="CG755" t="str">
        <f t="shared" si="151"/>
        <v>Off</v>
      </c>
      <c r="CH755" t="str">
        <f t="shared" si="151"/>
        <v>Off</v>
      </c>
      <c r="CI755" t="str">
        <f t="shared" si="151"/>
        <v>Off</v>
      </c>
      <c r="CJ755" t="str">
        <f t="shared" si="151"/>
        <v>Off</v>
      </c>
      <c r="CK755" t="str">
        <f t="shared" si="151"/>
        <v>Off</v>
      </c>
      <c r="CL755" t="str">
        <f t="shared" si="151"/>
        <v>Off</v>
      </c>
      <c r="CM755" t="str">
        <f t="shared" si="151"/>
        <v>Off</v>
      </c>
      <c r="CN755" t="str">
        <f t="shared" si="151"/>
        <v>Off</v>
      </c>
      <c r="CO755" t="str">
        <f t="shared" si="151"/>
        <v>Off</v>
      </c>
      <c r="CP755" t="str">
        <f t="shared" si="151"/>
        <v>Off</v>
      </c>
      <c r="CQ755" t="str">
        <f t="shared" si="151"/>
        <v>Off</v>
      </c>
      <c r="CR755" t="str">
        <f t="shared" si="151"/>
        <v>Off</v>
      </c>
      <c r="CS755" t="str">
        <f t="shared" si="151"/>
        <v>Off</v>
      </c>
      <c r="CT755" t="str">
        <f t="shared" si="151"/>
        <v>Off</v>
      </c>
      <c r="CU755" t="str">
        <f t="shared" si="151"/>
        <v>Off</v>
      </c>
      <c r="CV755" t="str">
        <f t="shared" si="151"/>
        <v>Off</v>
      </c>
      <c r="CW755" t="str">
        <f t="shared" si="151"/>
        <v>Off</v>
      </c>
      <c r="CX755" t="str">
        <f t="shared" si="151"/>
        <v>Off</v>
      </c>
      <c r="CY755" t="str">
        <f t="shared" si="151"/>
        <v>Off</v>
      </c>
      <c r="CZ755" t="str">
        <f t="shared" si="151"/>
        <v>Off</v>
      </c>
      <c r="DA755" t="str">
        <f t="shared" si="151"/>
        <v>Off</v>
      </c>
      <c r="DB755" t="str">
        <f t="shared" si="151"/>
        <v>Off</v>
      </c>
      <c r="DC755" t="str">
        <f t="shared" si="151"/>
        <v>Off</v>
      </c>
      <c r="DD755" t="str">
        <f t="shared" si="151"/>
        <v>Off</v>
      </c>
      <c r="DE755" t="str">
        <f t="shared" si="151"/>
        <v>Off</v>
      </c>
      <c r="DF755" t="str">
        <f t="shared" si="151"/>
        <v>Off</v>
      </c>
      <c r="DG755" t="str">
        <f t="shared" si="151"/>
        <v>Off</v>
      </c>
      <c r="DH755" t="str">
        <f t="shared" si="151"/>
        <v>Off</v>
      </c>
      <c r="DI755" t="str">
        <f t="shared" si="151"/>
        <v>Off</v>
      </c>
      <c r="DJ755" t="str">
        <f t="shared" si="151"/>
        <v>Off</v>
      </c>
      <c r="DK755" t="str">
        <f t="shared" si="151"/>
        <v>Off</v>
      </c>
      <c r="DL755" t="str">
        <f t="shared" si="151"/>
        <v>Off</v>
      </c>
      <c r="DM755" t="str">
        <f t="shared" si="151"/>
        <v>Off</v>
      </c>
      <c r="DN755" t="str">
        <f t="shared" si="151"/>
        <v>Off</v>
      </c>
      <c r="DO755" t="str">
        <f t="shared" si="151"/>
        <v>Off</v>
      </c>
      <c r="DP755" t="str">
        <f t="shared" si="151"/>
        <v>Off</v>
      </c>
      <c r="DQ755" t="str">
        <f t="shared" si="151"/>
        <v>Off</v>
      </c>
      <c r="DR755" t="str">
        <f t="shared" si="151"/>
        <v>Off</v>
      </c>
      <c r="DS755" t="str">
        <f t="shared" si="151"/>
        <v>Off</v>
      </c>
      <c r="DT755" t="str">
        <f t="shared" si="151"/>
        <v>Off</v>
      </c>
      <c r="DU755" t="str">
        <f t="shared" si="151"/>
        <v>Off</v>
      </c>
      <c r="DV755" t="str">
        <f t="shared" si="151"/>
        <v>Off</v>
      </c>
      <c r="DW755" t="str">
        <f t="shared" si="151"/>
        <v>Off</v>
      </c>
      <c r="DX755" t="str">
        <f t="shared" si="151"/>
        <v>Off</v>
      </c>
      <c r="DY755" t="str">
        <f t="shared" si="151"/>
        <v>Off</v>
      </c>
    </row>
    <row r="757" spans="1:129">
      <c r="B757" t="s">
        <v>2014</v>
      </c>
      <c r="C757">
        <v>8</v>
      </c>
      <c r="D757">
        <v>1</v>
      </c>
      <c r="E757">
        <v>1</v>
      </c>
    </row>
    <row r="758" spans="1:129">
      <c r="B758" t="s">
        <v>1508</v>
      </c>
    </row>
    <row r="759" spans="1:129">
      <c r="A759" t="s">
        <v>2015</v>
      </c>
      <c r="B759" t="str">
        <f>"ON"</f>
        <v>ON</v>
      </c>
    </row>
    <row r="760" spans="1:129">
      <c r="A760" t="s">
        <v>2016</v>
      </c>
      <c r="B760" t="str">
        <f>"ON"</f>
        <v>ON</v>
      </c>
    </row>
    <row r="761" spans="1:129">
      <c r="A761" t="s">
        <v>2017</v>
      </c>
      <c r="B761" t="str">
        <f>"OFF"</f>
        <v>OFF</v>
      </c>
    </row>
    <row r="762" spans="1:129">
      <c r="A762" t="s">
        <v>2018</v>
      </c>
      <c r="B762">
        <v>0</v>
      </c>
    </row>
    <row r="763" spans="1:129">
      <c r="A763" t="s">
        <v>2019</v>
      </c>
      <c r="B763" t="str">
        <f>"ON"</f>
        <v>ON</v>
      </c>
    </row>
    <row r="764" spans="1:129">
      <c r="A764" t="s">
        <v>2020</v>
      </c>
      <c r="B764" t="str">
        <f>"OFF"</f>
        <v>OFF</v>
      </c>
    </row>
    <row r="765" spans="1:129">
      <c r="A765" t="s">
        <v>2021</v>
      </c>
      <c r="B765">
        <v>0</v>
      </c>
    </row>
    <row r="766" spans="1:129">
      <c r="A766" t="s">
        <v>2022</v>
      </c>
      <c r="B766">
        <v>0</v>
      </c>
    </row>
    <row r="768" spans="1:129">
      <c r="B768" t="s">
        <v>2023</v>
      </c>
      <c r="C768">
        <v>31</v>
      </c>
      <c r="D768">
        <v>1</v>
      </c>
      <c r="E768">
        <v>1</v>
      </c>
    </row>
    <row r="769" spans="1:2">
      <c r="B769" t="s">
        <v>1508</v>
      </c>
    </row>
    <row r="770" spans="1:2">
      <c r="A770" t="s">
        <v>2024</v>
      </c>
      <c r="B770">
        <v>0</v>
      </c>
    </row>
    <row r="771" spans="1:2">
      <c r="A771" t="s">
        <v>2025</v>
      </c>
      <c r="B771">
        <v>0</v>
      </c>
    </row>
    <row r="772" spans="1:2">
      <c r="A772" t="s">
        <v>2026</v>
      </c>
      <c r="B772">
        <v>0</v>
      </c>
    </row>
    <row r="773" spans="1:2">
      <c r="A773" t="s">
        <v>2027</v>
      </c>
      <c r="B773">
        <v>0</v>
      </c>
    </row>
    <row r="774" spans="1:2">
      <c r="A774" t="s">
        <v>2028</v>
      </c>
      <c r="B774">
        <v>0</v>
      </c>
    </row>
    <row r="775" spans="1:2">
      <c r="A775" t="s">
        <v>2029</v>
      </c>
      <c r="B775">
        <v>0</v>
      </c>
    </row>
    <row r="776" spans="1:2">
      <c r="A776" t="s">
        <v>2030</v>
      </c>
      <c r="B776">
        <v>0</v>
      </c>
    </row>
    <row r="777" spans="1:2">
      <c r="A777" t="s">
        <v>2031</v>
      </c>
      <c r="B777">
        <v>0</v>
      </c>
    </row>
    <row r="778" spans="1:2">
      <c r="A778" t="s">
        <v>2032</v>
      </c>
      <c r="B778">
        <v>0</v>
      </c>
    </row>
    <row r="779" spans="1:2">
      <c r="A779" t="s">
        <v>2033</v>
      </c>
      <c r="B779">
        <v>0</v>
      </c>
    </row>
    <row r="780" spans="1:2">
      <c r="A780" t="s">
        <v>2034</v>
      </c>
      <c r="B780">
        <v>0</v>
      </c>
    </row>
    <row r="781" spans="1:2">
      <c r="A781" t="s">
        <v>2035</v>
      </c>
      <c r="B781">
        <v>0</v>
      </c>
    </row>
    <row r="782" spans="1:2">
      <c r="A782" t="s">
        <v>2036</v>
      </c>
      <c r="B782">
        <v>0</v>
      </c>
    </row>
    <row r="783" spans="1:2">
      <c r="A783" t="s">
        <v>2037</v>
      </c>
      <c r="B783">
        <v>0</v>
      </c>
    </row>
    <row r="784" spans="1:2">
      <c r="A784" t="s">
        <v>2038</v>
      </c>
      <c r="B784">
        <v>0</v>
      </c>
    </row>
    <row r="785" spans="1:2">
      <c r="A785" t="s">
        <v>2039</v>
      </c>
      <c r="B785">
        <v>0</v>
      </c>
    </row>
    <row r="786" spans="1:2">
      <c r="A786" t="s">
        <v>2040</v>
      </c>
      <c r="B786">
        <v>0</v>
      </c>
    </row>
    <row r="787" spans="1:2">
      <c r="A787" t="s">
        <v>2041</v>
      </c>
      <c r="B787" t="str">
        <f>"OFF"</f>
        <v>OFF</v>
      </c>
    </row>
    <row r="788" spans="1:2">
      <c r="A788" t="s">
        <v>2042</v>
      </c>
      <c r="B788">
        <v>1520</v>
      </c>
    </row>
    <row r="789" spans="1:2">
      <c r="A789" t="s">
        <v>2043</v>
      </c>
      <c r="B789">
        <v>0</v>
      </c>
    </row>
    <row r="790" spans="1:2">
      <c r="A790" t="s">
        <v>2044</v>
      </c>
      <c r="B790">
        <v>0</v>
      </c>
    </row>
    <row r="791" spans="1:2">
      <c r="A791" t="s">
        <v>2045</v>
      </c>
      <c r="B791">
        <v>0</v>
      </c>
    </row>
    <row r="792" spans="1:2">
      <c r="A792" t="s">
        <v>2046</v>
      </c>
      <c r="B792">
        <v>0</v>
      </c>
    </row>
    <row r="793" spans="1:2">
      <c r="A793" t="s">
        <v>2047</v>
      </c>
      <c r="B793">
        <v>0</v>
      </c>
    </row>
    <row r="794" spans="1:2">
      <c r="A794" t="s">
        <v>2048</v>
      </c>
      <c r="B794">
        <v>0</v>
      </c>
    </row>
    <row r="795" spans="1:2">
      <c r="A795" t="s">
        <v>2049</v>
      </c>
      <c r="B795">
        <v>0</v>
      </c>
    </row>
    <row r="796" spans="1:2">
      <c r="A796" t="s">
        <v>2050</v>
      </c>
      <c r="B796">
        <v>0</v>
      </c>
    </row>
    <row r="797" spans="1:2">
      <c r="A797" t="s">
        <v>2051</v>
      </c>
      <c r="B797">
        <v>0</v>
      </c>
    </row>
    <row r="798" spans="1:2">
      <c r="A798" t="s">
        <v>2052</v>
      </c>
      <c r="B798">
        <v>0</v>
      </c>
    </row>
    <row r="799" spans="1:2">
      <c r="A799" t="s">
        <v>2053</v>
      </c>
      <c r="B799">
        <v>0</v>
      </c>
    </row>
    <row r="800" spans="1:2">
      <c r="A800" t="s">
        <v>2054</v>
      </c>
      <c r="B800">
        <v>0</v>
      </c>
    </row>
    <row r="802" spans="1:21">
      <c r="B802" t="s">
        <v>2055</v>
      </c>
      <c r="C802">
        <v>19</v>
      </c>
      <c r="D802">
        <v>20</v>
      </c>
      <c r="E802">
        <v>1</v>
      </c>
    </row>
    <row r="803" spans="1:21">
      <c r="B803" t="s">
        <v>2056</v>
      </c>
      <c r="C803" t="s">
        <v>2057</v>
      </c>
      <c r="D803" t="s">
        <v>2058</v>
      </c>
      <c r="E803" t="s">
        <v>2059</v>
      </c>
      <c r="F803" t="s">
        <v>2060</v>
      </c>
      <c r="G803" t="s">
        <v>2061</v>
      </c>
      <c r="H803" t="s">
        <v>2062</v>
      </c>
      <c r="I803" t="s">
        <v>2063</v>
      </c>
      <c r="J803" t="s">
        <v>2064</v>
      </c>
      <c r="K803" t="s">
        <v>2065</v>
      </c>
      <c r="L803" t="s">
        <v>2066</v>
      </c>
      <c r="M803" t="s">
        <v>2067</v>
      </c>
      <c r="N803" t="s">
        <v>2068</v>
      </c>
      <c r="O803" t="s">
        <v>2069</v>
      </c>
      <c r="P803" t="s">
        <v>2070</v>
      </c>
      <c r="Q803" t="s">
        <v>2071</v>
      </c>
      <c r="R803" t="s">
        <v>2072</v>
      </c>
      <c r="S803" t="s">
        <v>2073</v>
      </c>
      <c r="T803" t="s">
        <v>2074</v>
      </c>
      <c r="U803" t="s">
        <v>2075</v>
      </c>
    </row>
    <row r="804" spans="1:21">
      <c r="A804" t="s">
        <v>2076</v>
      </c>
      <c r="B804" t="s">
        <v>703</v>
      </c>
      <c r="C804" t="s">
        <v>703</v>
      </c>
      <c r="D804" t="s">
        <v>703</v>
      </c>
      <c r="E804" t="s">
        <v>703</v>
      </c>
      <c r="F804" t="s">
        <v>703</v>
      </c>
      <c r="G804" t="s">
        <v>703</v>
      </c>
      <c r="H804" t="s">
        <v>703</v>
      </c>
      <c r="I804" t="s">
        <v>703</v>
      </c>
      <c r="J804" t="s">
        <v>703</v>
      </c>
      <c r="K804" t="s">
        <v>703</v>
      </c>
      <c r="L804" t="s">
        <v>703</v>
      </c>
      <c r="M804" t="s">
        <v>703</v>
      </c>
      <c r="N804" t="s">
        <v>703</v>
      </c>
      <c r="O804" t="s">
        <v>703</v>
      </c>
      <c r="P804" t="s">
        <v>703</v>
      </c>
      <c r="Q804" t="s">
        <v>703</v>
      </c>
      <c r="R804" t="s">
        <v>703</v>
      </c>
      <c r="S804" t="s">
        <v>703</v>
      </c>
      <c r="T804" t="s">
        <v>703</v>
      </c>
      <c r="U804" t="s">
        <v>703</v>
      </c>
    </row>
    <row r="805" spans="1:21">
      <c r="A805" t="s">
        <v>2077</v>
      </c>
      <c r="B805" t="s">
        <v>703</v>
      </c>
      <c r="C805" t="s">
        <v>703</v>
      </c>
      <c r="D805" t="s">
        <v>703</v>
      </c>
      <c r="E805" t="s">
        <v>703</v>
      </c>
      <c r="F805" t="s">
        <v>703</v>
      </c>
      <c r="G805" t="s">
        <v>703</v>
      </c>
      <c r="H805" t="s">
        <v>703</v>
      </c>
      <c r="I805" t="s">
        <v>703</v>
      </c>
      <c r="J805" t="s">
        <v>703</v>
      </c>
      <c r="K805" t="s">
        <v>703</v>
      </c>
      <c r="L805" t="s">
        <v>703</v>
      </c>
      <c r="M805" t="s">
        <v>703</v>
      </c>
      <c r="N805" t="s">
        <v>703</v>
      </c>
      <c r="O805" t="s">
        <v>703</v>
      </c>
      <c r="P805" t="s">
        <v>703</v>
      </c>
      <c r="Q805" t="s">
        <v>703</v>
      </c>
      <c r="R805" t="s">
        <v>703</v>
      </c>
      <c r="S805" t="s">
        <v>703</v>
      </c>
      <c r="T805" t="s">
        <v>703</v>
      </c>
      <c r="U805" t="s">
        <v>703</v>
      </c>
    </row>
    <row r="806" spans="1:21">
      <c r="A806" t="s">
        <v>2078</v>
      </c>
      <c r="B806" t="s">
        <v>703</v>
      </c>
      <c r="C806" t="s">
        <v>703</v>
      </c>
      <c r="D806" t="s">
        <v>703</v>
      </c>
      <c r="E806" t="s">
        <v>703</v>
      </c>
      <c r="F806" t="s">
        <v>703</v>
      </c>
      <c r="G806" t="s">
        <v>703</v>
      </c>
      <c r="H806" t="s">
        <v>703</v>
      </c>
      <c r="I806" t="s">
        <v>703</v>
      </c>
      <c r="J806" t="s">
        <v>703</v>
      </c>
      <c r="K806" t="s">
        <v>703</v>
      </c>
      <c r="L806" t="s">
        <v>703</v>
      </c>
      <c r="M806" t="s">
        <v>703</v>
      </c>
      <c r="N806" t="s">
        <v>703</v>
      </c>
      <c r="O806" t="s">
        <v>703</v>
      </c>
      <c r="P806" t="s">
        <v>703</v>
      </c>
      <c r="Q806" t="s">
        <v>703</v>
      </c>
      <c r="R806" t="s">
        <v>703</v>
      </c>
      <c r="S806" t="s">
        <v>703</v>
      </c>
      <c r="T806" t="s">
        <v>703</v>
      </c>
      <c r="U806" t="s">
        <v>703</v>
      </c>
    </row>
    <row r="807" spans="1:21">
      <c r="A807" t="s">
        <v>2079</v>
      </c>
      <c r="B807" t="str">
        <f t="shared" ref="B807:U807" si="152">"-"</f>
        <v>-</v>
      </c>
      <c r="C807" t="str">
        <f t="shared" si="152"/>
        <v>-</v>
      </c>
      <c r="D807" t="str">
        <f t="shared" si="152"/>
        <v>-</v>
      </c>
      <c r="E807" t="str">
        <f t="shared" si="152"/>
        <v>-</v>
      </c>
      <c r="F807" t="str">
        <f t="shared" si="152"/>
        <v>-</v>
      </c>
      <c r="G807" t="str">
        <f t="shared" si="152"/>
        <v>-</v>
      </c>
      <c r="H807" t="str">
        <f t="shared" si="152"/>
        <v>-</v>
      </c>
      <c r="I807" t="str">
        <f t="shared" si="152"/>
        <v>-</v>
      </c>
      <c r="J807" t="str">
        <f t="shared" si="152"/>
        <v>-</v>
      </c>
      <c r="K807" t="str">
        <f t="shared" si="152"/>
        <v>-</v>
      </c>
      <c r="L807" t="str">
        <f t="shared" si="152"/>
        <v>-</v>
      </c>
      <c r="M807" t="str">
        <f t="shared" si="152"/>
        <v>-</v>
      </c>
      <c r="N807" t="str">
        <f t="shared" si="152"/>
        <v>-</v>
      </c>
      <c r="O807" t="str">
        <f t="shared" si="152"/>
        <v>-</v>
      </c>
      <c r="P807" t="str">
        <f t="shared" si="152"/>
        <v>-</v>
      </c>
      <c r="Q807" t="str">
        <f t="shared" si="152"/>
        <v>-</v>
      </c>
      <c r="R807" t="str">
        <f t="shared" si="152"/>
        <v>-</v>
      </c>
      <c r="S807" t="str">
        <f t="shared" si="152"/>
        <v>-</v>
      </c>
      <c r="T807" t="str">
        <f t="shared" si="152"/>
        <v>-</v>
      </c>
      <c r="U807" t="str">
        <f t="shared" si="152"/>
        <v>-</v>
      </c>
    </row>
    <row r="808" spans="1:21">
      <c r="A808" t="s">
        <v>2080</v>
      </c>
      <c r="B808" t="str">
        <f t="shared" ref="B808:K809" si="153">"I"</f>
        <v>I</v>
      </c>
      <c r="C808" t="str">
        <f t="shared" si="153"/>
        <v>I</v>
      </c>
      <c r="D808" t="str">
        <f t="shared" si="153"/>
        <v>I</v>
      </c>
      <c r="E808" t="str">
        <f t="shared" si="153"/>
        <v>I</v>
      </c>
      <c r="F808" t="str">
        <f t="shared" si="153"/>
        <v>I</v>
      </c>
      <c r="G808" t="str">
        <f t="shared" si="153"/>
        <v>I</v>
      </c>
      <c r="H808" t="str">
        <f t="shared" si="153"/>
        <v>I</v>
      </c>
      <c r="I808" t="str">
        <f t="shared" si="153"/>
        <v>I</v>
      </c>
      <c r="J808" t="str">
        <f t="shared" si="153"/>
        <v>I</v>
      </c>
      <c r="K808" t="str">
        <f t="shared" si="153"/>
        <v>I</v>
      </c>
      <c r="L808" t="str">
        <f t="shared" ref="L808:U809" si="154">"I"</f>
        <v>I</v>
      </c>
      <c r="M808" t="str">
        <f t="shared" si="154"/>
        <v>I</v>
      </c>
      <c r="N808" t="str">
        <f t="shared" si="154"/>
        <v>I</v>
      </c>
      <c r="O808" t="str">
        <f t="shared" si="154"/>
        <v>I</v>
      </c>
      <c r="P808" t="str">
        <f t="shared" si="154"/>
        <v>I</v>
      </c>
      <c r="Q808" t="str">
        <f t="shared" si="154"/>
        <v>I</v>
      </c>
      <c r="R808" t="str">
        <f t="shared" si="154"/>
        <v>I</v>
      </c>
      <c r="S808" t="str">
        <f t="shared" si="154"/>
        <v>I</v>
      </c>
      <c r="T808" t="str">
        <f t="shared" si="154"/>
        <v>I</v>
      </c>
      <c r="U808" t="str">
        <f t="shared" si="154"/>
        <v>I</v>
      </c>
    </row>
    <row r="809" spans="1:21">
      <c r="A809" t="s">
        <v>2081</v>
      </c>
      <c r="B809" t="str">
        <f t="shared" si="153"/>
        <v>I</v>
      </c>
      <c r="C809" t="str">
        <f t="shared" si="153"/>
        <v>I</v>
      </c>
      <c r="D809" t="str">
        <f t="shared" si="153"/>
        <v>I</v>
      </c>
      <c r="E809" t="str">
        <f t="shared" si="153"/>
        <v>I</v>
      </c>
      <c r="F809" t="str">
        <f t="shared" si="153"/>
        <v>I</v>
      </c>
      <c r="G809" t="str">
        <f t="shared" si="153"/>
        <v>I</v>
      </c>
      <c r="H809" t="str">
        <f t="shared" si="153"/>
        <v>I</v>
      </c>
      <c r="I809" t="str">
        <f t="shared" si="153"/>
        <v>I</v>
      </c>
      <c r="J809" t="str">
        <f t="shared" si="153"/>
        <v>I</v>
      </c>
      <c r="K809" t="str">
        <f t="shared" si="153"/>
        <v>I</v>
      </c>
      <c r="L809" t="str">
        <f t="shared" si="154"/>
        <v>I</v>
      </c>
      <c r="M809" t="str">
        <f t="shared" si="154"/>
        <v>I</v>
      </c>
      <c r="N809" t="str">
        <f t="shared" si="154"/>
        <v>I</v>
      </c>
      <c r="O809" t="str">
        <f t="shared" si="154"/>
        <v>I</v>
      </c>
      <c r="P809" t="str">
        <f t="shared" si="154"/>
        <v>I</v>
      </c>
      <c r="Q809" t="str">
        <f t="shared" si="154"/>
        <v>I</v>
      </c>
      <c r="R809" t="str">
        <f t="shared" si="154"/>
        <v>I</v>
      </c>
      <c r="S809" t="str">
        <f t="shared" si="154"/>
        <v>I</v>
      </c>
      <c r="T809" t="str">
        <f t="shared" si="154"/>
        <v>I</v>
      </c>
      <c r="U809" t="str">
        <f t="shared" si="154"/>
        <v>I</v>
      </c>
    </row>
    <row r="810" spans="1:21">
      <c r="A810" t="s">
        <v>2082</v>
      </c>
      <c r="B810" t="str">
        <f t="shared" ref="B810:U810" si="155">"-"</f>
        <v>-</v>
      </c>
      <c r="C810" t="str">
        <f t="shared" si="155"/>
        <v>-</v>
      </c>
      <c r="D810" t="str">
        <f t="shared" si="155"/>
        <v>-</v>
      </c>
      <c r="E810" t="str">
        <f t="shared" si="155"/>
        <v>-</v>
      </c>
      <c r="F810" t="str">
        <f t="shared" si="155"/>
        <v>-</v>
      </c>
      <c r="G810" t="str">
        <f t="shared" si="155"/>
        <v>-</v>
      </c>
      <c r="H810" t="str">
        <f t="shared" si="155"/>
        <v>-</v>
      </c>
      <c r="I810" t="str">
        <f t="shared" si="155"/>
        <v>-</v>
      </c>
      <c r="J810" t="str">
        <f t="shared" si="155"/>
        <v>-</v>
      </c>
      <c r="K810" t="str">
        <f t="shared" si="155"/>
        <v>-</v>
      </c>
      <c r="L810" t="str">
        <f t="shared" si="155"/>
        <v>-</v>
      </c>
      <c r="M810" t="str">
        <f t="shared" si="155"/>
        <v>-</v>
      </c>
      <c r="N810" t="str">
        <f t="shared" si="155"/>
        <v>-</v>
      </c>
      <c r="O810" t="str">
        <f t="shared" si="155"/>
        <v>-</v>
      </c>
      <c r="P810" t="str">
        <f t="shared" si="155"/>
        <v>-</v>
      </c>
      <c r="Q810" t="str">
        <f t="shared" si="155"/>
        <v>-</v>
      </c>
      <c r="R810" t="str">
        <f t="shared" si="155"/>
        <v>-</v>
      </c>
      <c r="S810" t="str">
        <f t="shared" si="155"/>
        <v>-</v>
      </c>
      <c r="T810" t="str">
        <f t="shared" si="155"/>
        <v>-</v>
      </c>
      <c r="U810" t="str">
        <f t="shared" si="155"/>
        <v>-</v>
      </c>
    </row>
    <row r="811" spans="1:21">
      <c r="A811" t="s">
        <v>2083</v>
      </c>
      <c r="B811" t="str">
        <f t="shared" ref="B811:U811" si="156">"I"</f>
        <v>I</v>
      </c>
      <c r="C811" t="str">
        <f t="shared" si="156"/>
        <v>I</v>
      </c>
      <c r="D811" t="str">
        <f t="shared" si="156"/>
        <v>I</v>
      </c>
      <c r="E811" t="str">
        <f t="shared" si="156"/>
        <v>I</v>
      </c>
      <c r="F811" t="str">
        <f t="shared" si="156"/>
        <v>I</v>
      </c>
      <c r="G811" t="str">
        <f t="shared" si="156"/>
        <v>I</v>
      </c>
      <c r="H811" t="str">
        <f t="shared" si="156"/>
        <v>I</v>
      </c>
      <c r="I811" t="str">
        <f t="shared" si="156"/>
        <v>I</v>
      </c>
      <c r="J811" t="str">
        <f t="shared" si="156"/>
        <v>I</v>
      </c>
      <c r="K811" t="str">
        <f t="shared" si="156"/>
        <v>I</v>
      </c>
      <c r="L811" t="str">
        <f t="shared" si="156"/>
        <v>I</v>
      </c>
      <c r="M811" t="str">
        <f t="shared" si="156"/>
        <v>I</v>
      </c>
      <c r="N811" t="str">
        <f t="shared" si="156"/>
        <v>I</v>
      </c>
      <c r="O811" t="str">
        <f t="shared" si="156"/>
        <v>I</v>
      </c>
      <c r="P811" t="str">
        <f t="shared" si="156"/>
        <v>I</v>
      </c>
      <c r="Q811" t="str">
        <f t="shared" si="156"/>
        <v>I</v>
      </c>
      <c r="R811" t="str">
        <f t="shared" si="156"/>
        <v>I</v>
      </c>
      <c r="S811" t="str">
        <f t="shared" si="156"/>
        <v>I</v>
      </c>
      <c r="T811" t="str">
        <f t="shared" si="156"/>
        <v>I</v>
      </c>
      <c r="U811" t="str">
        <f t="shared" si="156"/>
        <v>I</v>
      </c>
    </row>
    <row r="812" spans="1:21">
      <c r="A812" t="s">
        <v>2084</v>
      </c>
      <c r="B812" t="str">
        <f t="shared" ref="B812:U812" si="157">"-"</f>
        <v>-</v>
      </c>
      <c r="C812" t="str">
        <f t="shared" si="157"/>
        <v>-</v>
      </c>
      <c r="D812" t="str">
        <f t="shared" si="157"/>
        <v>-</v>
      </c>
      <c r="E812" t="str">
        <f t="shared" si="157"/>
        <v>-</v>
      </c>
      <c r="F812" t="str">
        <f t="shared" si="157"/>
        <v>-</v>
      </c>
      <c r="G812" t="str">
        <f t="shared" si="157"/>
        <v>-</v>
      </c>
      <c r="H812" t="str">
        <f t="shared" si="157"/>
        <v>-</v>
      </c>
      <c r="I812" t="str">
        <f t="shared" si="157"/>
        <v>-</v>
      </c>
      <c r="J812" t="str">
        <f t="shared" si="157"/>
        <v>-</v>
      </c>
      <c r="K812" t="str">
        <f t="shared" si="157"/>
        <v>-</v>
      </c>
      <c r="L812" t="str">
        <f t="shared" si="157"/>
        <v>-</v>
      </c>
      <c r="M812" t="str">
        <f t="shared" si="157"/>
        <v>-</v>
      </c>
      <c r="N812" t="str">
        <f t="shared" si="157"/>
        <v>-</v>
      </c>
      <c r="O812" t="str">
        <f t="shared" si="157"/>
        <v>-</v>
      </c>
      <c r="P812" t="str">
        <f t="shared" si="157"/>
        <v>-</v>
      </c>
      <c r="Q812" t="str">
        <f t="shared" si="157"/>
        <v>-</v>
      </c>
      <c r="R812" t="str">
        <f t="shared" si="157"/>
        <v>-</v>
      </c>
      <c r="S812" t="str">
        <f t="shared" si="157"/>
        <v>-</v>
      </c>
      <c r="T812" t="str">
        <f t="shared" si="157"/>
        <v>-</v>
      </c>
      <c r="U812" t="str">
        <f t="shared" si="157"/>
        <v>-</v>
      </c>
    </row>
    <row r="813" spans="1:21">
      <c r="A813" t="s">
        <v>2085</v>
      </c>
      <c r="B813" t="str">
        <f t="shared" ref="B813:U813" si="158">"I"</f>
        <v>I</v>
      </c>
      <c r="C813" t="str">
        <f t="shared" si="158"/>
        <v>I</v>
      </c>
      <c r="D813" t="str">
        <f t="shared" si="158"/>
        <v>I</v>
      </c>
      <c r="E813" t="str">
        <f t="shared" si="158"/>
        <v>I</v>
      </c>
      <c r="F813" t="str">
        <f t="shared" si="158"/>
        <v>I</v>
      </c>
      <c r="G813" t="str">
        <f t="shared" si="158"/>
        <v>I</v>
      </c>
      <c r="H813" t="str">
        <f t="shared" si="158"/>
        <v>I</v>
      </c>
      <c r="I813" t="str">
        <f t="shared" si="158"/>
        <v>I</v>
      </c>
      <c r="J813" t="str">
        <f t="shared" si="158"/>
        <v>I</v>
      </c>
      <c r="K813" t="str">
        <f t="shared" si="158"/>
        <v>I</v>
      </c>
      <c r="L813" t="str">
        <f t="shared" si="158"/>
        <v>I</v>
      </c>
      <c r="M813" t="str">
        <f t="shared" si="158"/>
        <v>I</v>
      </c>
      <c r="N813" t="str">
        <f t="shared" si="158"/>
        <v>I</v>
      </c>
      <c r="O813" t="str">
        <f t="shared" si="158"/>
        <v>I</v>
      </c>
      <c r="P813" t="str">
        <f t="shared" si="158"/>
        <v>I</v>
      </c>
      <c r="Q813" t="str">
        <f t="shared" si="158"/>
        <v>I</v>
      </c>
      <c r="R813" t="str">
        <f t="shared" si="158"/>
        <v>I</v>
      </c>
      <c r="S813" t="str">
        <f t="shared" si="158"/>
        <v>I</v>
      </c>
      <c r="T813" t="str">
        <f t="shared" si="158"/>
        <v>I</v>
      </c>
      <c r="U813" t="str">
        <f t="shared" si="158"/>
        <v>I</v>
      </c>
    </row>
    <row r="814" spans="1:21">
      <c r="A814" t="s">
        <v>2086</v>
      </c>
      <c r="B814" t="str">
        <f t="shared" ref="B814:K816" si="159">"----"</f>
        <v>----</v>
      </c>
      <c r="C814" t="str">
        <f t="shared" si="159"/>
        <v>----</v>
      </c>
      <c r="D814" t="str">
        <f t="shared" si="159"/>
        <v>----</v>
      </c>
      <c r="E814" t="str">
        <f t="shared" si="159"/>
        <v>----</v>
      </c>
      <c r="F814" t="str">
        <f t="shared" si="159"/>
        <v>----</v>
      </c>
      <c r="G814" t="str">
        <f t="shared" si="159"/>
        <v>----</v>
      </c>
      <c r="H814" t="str">
        <f t="shared" si="159"/>
        <v>----</v>
      </c>
      <c r="I814" t="str">
        <f t="shared" si="159"/>
        <v>----</v>
      </c>
      <c r="J814" t="str">
        <f t="shared" si="159"/>
        <v>----</v>
      </c>
      <c r="K814" t="str">
        <f t="shared" si="159"/>
        <v>----</v>
      </c>
      <c r="L814" t="str">
        <f t="shared" ref="L814:U816" si="160">"----"</f>
        <v>----</v>
      </c>
      <c r="M814" t="str">
        <f t="shared" si="160"/>
        <v>----</v>
      </c>
      <c r="N814" t="str">
        <f t="shared" si="160"/>
        <v>----</v>
      </c>
      <c r="O814" t="str">
        <f t="shared" si="160"/>
        <v>----</v>
      </c>
      <c r="P814" t="str">
        <f t="shared" si="160"/>
        <v>----</v>
      </c>
      <c r="Q814" t="str">
        <f t="shared" si="160"/>
        <v>----</v>
      </c>
      <c r="R814" t="str">
        <f t="shared" si="160"/>
        <v>----</v>
      </c>
      <c r="S814" t="str">
        <f t="shared" si="160"/>
        <v>----</v>
      </c>
      <c r="T814" t="str">
        <f t="shared" si="160"/>
        <v>----</v>
      </c>
      <c r="U814" t="str">
        <f t="shared" si="160"/>
        <v>----</v>
      </c>
    </row>
    <row r="815" spans="1:21">
      <c r="A815" t="s">
        <v>2087</v>
      </c>
      <c r="B815" t="str">
        <f t="shared" si="159"/>
        <v>----</v>
      </c>
      <c r="C815" t="str">
        <f t="shared" si="159"/>
        <v>----</v>
      </c>
      <c r="D815" t="str">
        <f t="shared" si="159"/>
        <v>----</v>
      </c>
      <c r="E815" t="str">
        <f t="shared" si="159"/>
        <v>----</v>
      </c>
      <c r="F815" t="str">
        <f t="shared" si="159"/>
        <v>----</v>
      </c>
      <c r="G815" t="str">
        <f t="shared" si="159"/>
        <v>----</v>
      </c>
      <c r="H815" t="str">
        <f t="shared" si="159"/>
        <v>----</v>
      </c>
      <c r="I815" t="str">
        <f t="shared" si="159"/>
        <v>----</v>
      </c>
      <c r="J815" t="str">
        <f t="shared" si="159"/>
        <v>----</v>
      </c>
      <c r="K815" t="str">
        <f t="shared" si="159"/>
        <v>----</v>
      </c>
      <c r="L815" t="str">
        <f t="shared" si="160"/>
        <v>----</v>
      </c>
      <c r="M815" t="str">
        <f t="shared" si="160"/>
        <v>----</v>
      </c>
      <c r="N815" t="str">
        <f t="shared" si="160"/>
        <v>----</v>
      </c>
      <c r="O815" t="str">
        <f t="shared" si="160"/>
        <v>----</v>
      </c>
      <c r="P815" t="str">
        <f t="shared" si="160"/>
        <v>----</v>
      </c>
      <c r="Q815" t="str">
        <f t="shared" si="160"/>
        <v>----</v>
      </c>
      <c r="R815" t="str">
        <f t="shared" si="160"/>
        <v>----</v>
      </c>
      <c r="S815" t="str">
        <f t="shared" si="160"/>
        <v>----</v>
      </c>
      <c r="T815" t="str">
        <f t="shared" si="160"/>
        <v>----</v>
      </c>
      <c r="U815" t="str">
        <f t="shared" si="160"/>
        <v>----</v>
      </c>
    </row>
    <row r="816" spans="1:21">
      <c r="A816" t="s">
        <v>2088</v>
      </c>
      <c r="B816" t="str">
        <f t="shared" si="159"/>
        <v>----</v>
      </c>
      <c r="C816" t="str">
        <f t="shared" si="159"/>
        <v>----</v>
      </c>
      <c r="D816" t="str">
        <f t="shared" si="159"/>
        <v>----</v>
      </c>
      <c r="E816" t="str">
        <f t="shared" si="159"/>
        <v>----</v>
      </c>
      <c r="F816" t="str">
        <f t="shared" si="159"/>
        <v>----</v>
      </c>
      <c r="G816" t="str">
        <f t="shared" si="159"/>
        <v>----</v>
      </c>
      <c r="H816" t="str">
        <f t="shared" si="159"/>
        <v>----</v>
      </c>
      <c r="I816" t="str">
        <f t="shared" si="159"/>
        <v>----</v>
      </c>
      <c r="J816" t="str">
        <f t="shared" si="159"/>
        <v>----</v>
      </c>
      <c r="K816" t="str">
        <f t="shared" si="159"/>
        <v>----</v>
      </c>
      <c r="L816" t="str">
        <f t="shared" si="160"/>
        <v>----</v>
      </c>
      <c r="M816" t="str">
        <f t="shared" si="160"/>
        <v>----</v>
      </c>
      <c r="N816" t="str">
        <f t="shared" si="160"/>
        <v>----</v>
      </c>
      <c r="O816" t="str">
        <f t="shared" si="160"/>
        <v>----</v>
      </c>
      <c r="P816" t="str">
        <f t="shared" si="160"/>
        <v>----</v>
      </c>
      <c r="Q816" t="str">
        <f t="shared" si="160"/>
        <v>----</v>
      </c>
      <c r="R816" t="str">
        <f t="shared" si="160"/>
        <v>----</v>
      </c>
      <c r="S816" t="str">
        <f t="shared" si="160"/>
        <v>----</v>
      </c>
      <c r="T816" t="str">
        <f t="shared" si="160"/>
        <v>----</v>
      </c>
      <c r="U816" t="str">
        <f t="shared" si="160"/>
        <v>----</v>
      </c>
    </row>
    <row r="817" spans="1:21">
      <c r="A817" t="s">
        <v>278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</row>
    <row r="818" spans="1:21">
      <c r="A818" t="s">
        <v>2089</v>
      </c>
      <c r="B818" t="str">
        <f t="shared" ref="B818:K820" si="161">"0"</f>
        <v>0</v>
      </c>
      <c r="C818" t="str">
        <f t="shared" si="161"/>
        <v>0</v>
      </c>
      <c r="D818" t="str">
        <f t="shared" si="161"/>
        <v>0</v>
      </c>
      <c r="E818" t="str">
        <f t="shared" si="161"/>
        <v>0</v>
      </c>
      <c r="F818" t="str">
        <f t="shared" si="161"/>
        <v>0</v>
      </c>
      <c r="G818" t="str">
        <f t="shared" si="161"/>
        <v>0</v>
      </c>
      <c r="H818" t="str">
        <f t="shared" si="161"/>
        <v>0</v>
      </c>
      <c r="I818" t="str">
        <f t="shared" si="161"/>
        <v>0</v>
      </c>
      <c r="J818" t="str">
        <f t="shared" si="161"/>
        <v>0</v>
      </c>
      <c r="K818" t="str">
        <f t="shared" si="161"/>
        <v>0</v>
      </c>
      <c r="L818" t="str">
        <f t="shared" ref="L818:U820" si="162">"0"</f>
        <v>0</v>
      </c>
      <c r="M818" t="str">
        <f t="shared" si="162"/>
        <v>0</v>
      </c>
      <c r="N818" t="str">
        <f t="shared" si="162"/>
        <v>0</v>
      </c>
      <c r="O818" t="str">
        <f t="shared" si="162"/>
        <v>0</v>
      </c>
      <c r="P818" t="str">
        <f t="shared" si="162"/>
        <v>0</v>
      </c>
      <c r="Q818" t="str">
        <f t="shared" si="162"/>
        <v>0</v>
      </c>
      <c r="R818" t="str">
        <f t="shared" si="162"/>
        <v>0</v>
      </c>
      <c r="S818" t="str">
        <f t="shared" si="162"/>
        <v>0</v>
      </c>
      <c r="T818" t="str">
        <f t="shared" si="162"/>
        <v>0</v>
      </c>
      <c r="U818" t="str">
        <f t="shared" si="162"/>
        <v>0</v>
      </c>
    </row>
    <row r="819" spans="1:21">
      <c r="A819" t="s">
        <v>2090</v>
      </c>
      <c r="B819" t="str">
        <f t="shared" si="161"/>
        <v>0</v>
      </c>
      <c r="C819" t="str">
        <f t="shared" si="161"/>
        <v>0</v>
      </c>
      <c r="D819" t="str">
        <f t="shared" si="161"/>
        <v>0</v>
      </c>
      <c r="E819" t="str">
        <f t="shared" si="161"/>
        <v>0</v>
      </c>
      <c r="F819" t="str">
        <f t="shared" si="161"/>
        <v>0</v>
      </c>
      <c r="G819" t="str">
        <f t="shared" si="161"/>
        <v>0</v>
      </c>
      <c r="H819" t="str">
        <f t="shared" si="161"/>
        <v>0</v>
      </c>
      <c r="I819" t="str">
        <f t="shared" si="161"/>
        <v>0</v>
      </c>
      <c r="J819" t="str">
        <f t="shared" si="161"/>
        <v>0</v>
      </c>
      <c r="K819" t="str">
        <f t="shared" si="161"/>
        <v>0</v>
      </c>
      <c r="L819" t="str">
        <f t="shared" si="162"/>
        <v>0</v>
      </c>
      <c r="M819" t="str">
        <f t="shared" si="162"/>
        <v>0</v>
      </c>
      <c r="N819" t="str">
        <f t="shared" si="162"/>
        <v>0</v>
      </c>
      <c r="O819" t="str">
        <f t="shared" si="162"/>
        <v>0</v>
      </c>
      <c r="P819" t="str">
        <f t="shared" si="162"/>
        <v>0</v>
      </c>
      <c r="Q819" t="str">
        <f t="shared" si="162"/>
        <v>0</v>
      </c>
      <c r="R819" t="str">
        <f t="shared" si="162"/>
        <v>0</v>
      </c>
      <c r="S819" t="str">
        <f t="shared" si="162"/>
        <v>0</v>
      </c>
      <c r="T819" t="str">
        <f t="shared" si="162"/>
        <v>0</v>
      </c>
      <c r="U819" t="str">
        <f t="shared" si="162"/>
        <v>0</v>
      </c>
    </row>
    <row r="820" spans="1:21">
      <c r="A820" t="s">
        <v>2091</v>
      </c>
      <c r="B820" t="str">
        <f t="shared" si="161"/>
        <v>0</v>
      </c>
      <c r="C820" t="str">
        <f t="shared" si="161"/>
        <v>0</v>
      </c>
      <c r="D820" t="str">
        <f t="shared" si="161"/>
        <v>0</v>
      </c>
      <c r="E820" t="str">
        <f t="shared" si="161"/>
        <v>0</v>
      </c>
      <c r="F820" t="str">
        <f t="shared" si="161"/>
        <v>0</v>
      </c>
      <c r="G820" t="str">
        <f t="shared" si="161"/>
        <v>0</v>
      </c>
      <c r="H820" t="str">
        <f t="shared" si="161"/>
        <v>0</v>
      </c>
      <c r="I820" t="str">
        <f t="shared" si="161"/>
        <v>0</v>
      </c>
      <c r="J820" t="str">
        <f t="shared" si="161"/>
        <v>0</v>
      </c>
      <c r="K820" t="str">
        <f t="shared" si="161"/>
        <v>0</v>
      </c>
      <c r="L820" t="str">
        <f t="shared" si="162"/>
        <v>0</v>
      </c>
      <c r="M820" t="str">
        <f t="shared" si="162"/>
        <v>0</v>
      </c>
      <c r="N820" t="str">
        <f t="shared" si="162"/>
        <v>0</v>
      </c>
      <c r="O820" t="str">
        <f t="shared" si="162"/>
        <v>0</v>
      </c>
      <c r="P820" t="str">
        <f t="shared" si="162"/>
        <v>0</v>
      </c>
      <c r="Q820" t="str">
        <f t="shared" si="162"/>
        <v>0</v>
      </c>
      <c r="R820" t="str">
        <f t="shared" si="162"/>
        <v>0</v>
      </c>
      <c r="S820" t="str">
        <f t="shared" si="162"/>
        <v>0</v>
      </c>
      <c r="T820" t="str">
        <f t="shared" si="162"/>
        <v>0</v>
      </c>
      <c r="U820" t="str">
        <f t="shared" si="162"/>
        <v>0</v>
      </c>
    </row>
    <row r="821" spans="1:21">
      <c r="A821" t="s">
        <v>127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</row>
    <row r="822" spans="1:21">
      <c r="A822" t="s">
        <v>2092</v>
      </c>
      <c r="B822" t="str">
        <f t="shared" ref="B822:U822" si="163">"DLY"</f>
        <v>DLY</v>
      </c>
      <c r="C822" t="str">
        <f t="shared" si="163"/>
        <v>DLY</v>
      </c>
      <c r="D822" t="str">
        <f t="shared" si="163"/>
        <v>DLY</v>
      </c>
      <c r="E822" t="str">
        <f t="shared" si="163"/>
        <v>DLY</v>
      </c>
      <c r="F822" t="str">
        <f t="shared" si="163"/>
        <v>DLY</v>
      </c>
      <c r="G822" t="str">
        <f t="shared" si="163"/>
        <v>DLY</v>
      </c>
      <c r="H822" t="str">
        <f t="shared" si="163"/>
        <v>DLY</v>
      </c>
      <c r="I822" t="str">
        <f t="shared" si="163"/>
        <v>DLY</v>
      </c>
      <c r="J822" t="str">
        <f t="shared" si="163"/>
        <v>DLY</v>
      </c>
      <c r="K822" t="str">
        <f t="shared" si="163"/>
        <v>DLY</v>
      </c>
      <c r="L822" t="str">
        <f t="shared" si="163"/>
        <v>DLY</v>
      </c>
      <c r="M822" t="str">
        <f t="shared" si="163"/>
        <v>DLY</v>
      </c>
      <c r="N822" t="str">
        <f t="shared" si="163"/>
        <v>DLY</v>
      </c>
      <c r="O822" t="str">
        <f t="shared" si="163"/>
        <v>DLY</v>
      </c>
      <c r="P822" t="str">
        <f t="shared" si="163"/>
        <v>DLY</v>
      </c>
      <c r="Q822" t="str">
        <f t="shared" si="163"/>
        <v>DLY</v>
      </c>
      <c r="R822" t="str">
        <f t="shared" si="163"/>
        <v>DLY</v>
      </c>
      <c r="S822" t="str">
        <f t="shared" si="163"/>
        <v>DLY</v>
      </c>
      <c r="T822" t="str">
        <f t="shared" si="163"/>
        <v>DLY</v>
      </c>
      <c r="U822" t="str">
        <f t="shared" si="163"/>
        <v>DLY</v>
      </c>
    </row>
    <row r="824" spans="1:21">
      <c r="B824" t="s">
        <v>2093</v>
      </c>
      <c r="C824">
        <v>8</v>
      </c>
      <c r="D824">
        <v>1</v>
      </c>
      <c r="E824">
        <v>1</v>
      </c>
    </row>
    <row r="825" spans="1:21">
      <c r="B825" t="s">
        <v>1508</v>
      </c>
    </row>
    <row r="826" spans="1:21">
      <c r="A826" t="s">
        <v>2094</v>
      </c>
      <c r="B826" t="str">
        <f>"DEFAULT"</f>
        <v>DEFAULT</v>
      </c>
    </row>
    <row r="827" spans="1:21">
      <c r="A827" t="s">
        <v>2095</v>
      </c>
      <c r="B827" t="str">
        <f>"USER"</f>
        <v>USER</v>
      </c>
    </row>
    <row r="828" spans="1:21">
      <c r="A828" t="s">
        <v>170</v>
      </c>
      <c r="B828">
        <v>0</v>
      </c>
    </row>
    <row r="829" spans="1:21">
      <c r="A829" t="s">
        <v>2096</v>
      </c>
      <c r="B829" t="str">
        <f>"NONE"</f>
        <v>NONE</v>
      </c>
    </row>
    <row r="830" spans="1:21">
      <c r="A830" t="s">
        <v>2097</v>
      </c>
      <c r="B830" t="str">
        <f>"OFF"</f>
        <v>OFF</v>
      </c>
    </row>
    <row r="831" spans="1:21">
      <c r="A831" t="s">
        <v>2098</v>
      </c>
      <c r="B831">
        <v>0</v>
      </c>
    </row>
    <row r="832" spans="1:21">
      <c r="A832" t="s">
        <v>2</v>
      </c>
      <c r="B832" t="str">
        <f>"EXT"</f>
        <v>EXT</v>
      </c>
    </row>
    <row r="833" spans="1:5">
      <c r="A833" t="s">
        <v>2099</v>
      </c>
      <c r="B833" t="str">
        <f>"None"</f>
        <v>None</v>
      </c>
    </row>
    <row r="835" spans="1:5">
      <c r="B835" t="s">
        <v>2100</v>
      </c>
      <c r="C835">
        <v>17</v>
      </c>
      <c r="D835">
        <v>4</v>
      </c>
      <c r="E835">
        <v>1</v>
      </c>
    </row>
    <row r="836" spans="1:5">
      <c r="B836" t="s">
        <v>2101</v>
      </c>
      <c r="C836" t="s">
        <v>2102</v>
      </c>
      <c r="D836" t="s">
        <v>2103</v>
      </c>
      <c r="E836" t="s">
        <v>2104</v>
      </c>
    </row>
    <row r="837" spans="1:5">
      <c r="A837" t="s">
        <v>2101</v>
      </c>
      <c r="B837">
        <v>10</v>
      </c>
      <c r="C837">
        <v>10</v>
      </c>
      <c r="D837">
        <v>0</v>
      </c>
      <c r="E837">
        <v>0</v>
      </c>
    </row>
    <row r="838" spans="1:5">
      <c r="A838" t="s">
        <v>2102</v>
      </c>
      <c r="B838">
        <v>52</v>
      </c>
      <c r="C838">
        <v>50</v>
      </c>
      <c r="D838">
        <v>0</v>
      </c>
      <c r="E838">
        <v>0</v>
      </c>
    </row>
    <row r="839" spans="1:5">
      <c r="A839" t="s">
        <v>2103</v>
      </c>
      <c r="B839">
        <v>9</v>
      </c>
      <c r="C839">
        <v>10</v>
      </c>
      <c r="D839">
        <v>0</v>
      </c>
      <c r="E839">
        <v>0</v>
      </c>
    </row>
    <row r="840" spans="1:5">
      <c r="A840" t="s">
        <v>2104</v>
      </c>
      <c r="B840">
        <v>131</v>
      </c>
      <c r="C840">
        <v>22</v>
      </c>
      <c r="D840">
        <v>0</v>
      </c>
      <c r="E840">
        <v>0</v>
      </c>
    </row>
    <row r="841" spans="1:5">
      <c r="A841" t="s">
        <v>2105</v>
      </c>
      <c r="B841">
        <v>0</v>
      </c>
      <c r="C841">
        <v>0</v>
      </c>
      <c r="D841">
        <v>0</v>
      </c>
      <c r="E841">
        <v>0</v>
      </c>
    </row>
    <row r="842" spans="1:5">
      <c r="A842" t="s">
        <v>2106</v>
      </c>
      <c r="B842">
        <v>0</v>
      </c>
      <c r="C842">
        <v>0</v>
      </c>
      <c r="D842">
        <v>0</v>
      </c>
      <c r="E842">
        <v>0</v>
      </c>
    </row>
    <row r="843" spans="1:5">
      <c r="A843" t="s">
        <v>2107</v>
      </c>
      <c r="B843">
        <v>0</v>
      </c>
      <c r="C843">
        <v>0</v>
      </c>
      <c r="D843">
        <v>0</v>
      </c>
      <c r="E843">
        <v>0</v>
      </c>
    </row>
    <row r="844" spans="1:5">
      <c r="A844" t="s">
        <v>2108</v>
      </c>
      <c r="B844">
        <v>0</v>
      </c>
      <c r="C844">
        <v>0</v>
      </c>
      <c r="D844">
        <v>0</v>
      </c>
      <c r="E844">
        <v>0</v>
      </c>
    </row>
    <row r="845" spans="1:5">
      <c r="A845" t="s">
        <v>2109</v>
      </c>
      <c r="B845">
        <v>10</v>
      </c>
      <c r="C845">
        <v>0</v>
      </c>
      <c r="D845">
        <v>0</v>
      </c>
      <c r="E845">
        <v>0</v>
      </c>
    </row>
    <row r="846" spans="1:5">
      <c r="A846" t="s">
        <v>2110</v>
      </c>
      <c r="B846">
        <v>52</v>
      </c>
      <c r="C846">
        <v>0</v>
      </c>
      <c r="D846">
        <v>0</v>
      </c>
      <c r="E846">
        <v>0</v>
      </c>
    </row>
    <row r="847" spans="1:5">
      <c r="A847" t="s">
        <v>2111</v>
      </c>
      <c r="B847">
        <v>9</v>
      </c>
      <c r="C847">
        <v>0</v>
      </c>
      <c r="D847">
        <v>0</v>
      </c>
      <c r="E847">
        <v>0</v>
      </c>
    </row>
    <row r="848" spans="1:5">
      <c r="A848" t="s">
        <v>2112</v>
      </c>
      <c r="B848">
        <v>1</v>
      </c>
      <c r="C848">
        <v>0</v>
      </c>
      <c r="D848">
        <v>0</v>
      </c>
      <c r="E848">
        <v>0</v>
      </c>
    </row>
    <row r="849" spans="1:5">
      <c r="A849" t="s">
        <v>2113</v>
      </c>
      <c r="B849">
        <v>255</v>
      </c>
      <c r="C849">
        <v>0</v>
      </c>
      <c r="D849">
        <v>0</v>
      </c>
      <c r="E849">
        <v>0</v>
      </c>
    </row>
    <row r="850" spans="1:5">
      <c r="A850" t="s">
        <v>2114</v>
      </c>
      <c r="B850">
        <v>255</v>
      </c>
      <c r="C850">
        <v>0</v>
      </c>
      <c r="D850">
        <v>0</v>
      </c>
      <c r="E850">
        <v>0</v>
      </c>
    </row>
    <row r="851" spans="1:5">
      <c r="A851" t="s">
        <v>2115</v>
      </c>
      <c r="B851">
        <v>255</v>
      </c>
      <c r="C851">
        <v>0</v>
      </c>
      <c r="D851">
        <v>0</v>
      </c>
      <c r="E851">
        <v>0</v>
      </c>
    </row>
    <row r="852" spans="1:5">
      <c r="A852" t="s">
        <v>2116</v>
      </c>
      <c r="B852">
        <v>0</v>
      </c>
      <c r="C852">
        <v>0</v>
      </c>
      <c r="D852">
        <v>0</v>
      </c>
      <c r="E852">
        <v>0</v>
      </c>
    </row>
    <row r="853" spans="1:5">
      <c r="A853" t="s">
        <v>2117</v>
      </c>
      <c r="B853">
        <v>5028</v>
      </c>
      <c r="C853">
        <v>0</v>
      </c>
      <c r="D853">
        <v>0</v>
      </c>
      <c r="E853">
        <v>0</v>
      </c>
    </row>
    <row r="855" spans="1:5">
      <c r="B855" t="s">
        <v>2118</v>
      </c>
      <c r="C855">
        <v>16</v>
      </c>
      <c r="D855">
        <v>1</v>
      </c>
      <c r="E855">
        <v>1</v>
      </c>
    </row>
    <row r="856" spans="1:5">
      <c r="B856" t="s">
        <v>2119</v>
      </c>
    </row>
    <row r="857" spans="1:5">
      <c r="A857" t="s">
        <v>2120</v>
      </c>
      <c r="B857" t="str">
        <f>"OFF"</f>
        <v>OFF</v>
      </c>
    </row>
    <row r="858" spans="1:5">
      <c r="A858" t="s">
        <v>2121</v>
      </c>
      <c r="B858" t="str">
        <f>"OFF"</f>
        <v>OFF</v>
      </c>
    </row>
    <row r="859" spans="1:5">
      <c r="A859" t="s">
        <v>2122</v>
      </c>
      <c r="B859" t="str">
        <f>"OFF"</f>
        <v>OFF</v>
      </c>
    </row>
    <row r="860" spans="1:5">
      <c r="A860" t="s">
        <v>2123</v>
      </c>
      <c r="B860" t="str">
        <f>"OFF"</f>
        <v>OFF</v>
      </c>
    </row>
    <row r="861" spans="1:5">
      <c r="A861" t="s">
        <v>2124</v>
      </c>
      <c r="B861" t="str">
        <f>"2070-2A"</f>
        <v>2070-2A</v>
      </c>
    </row>
    <row r="862" spans="1:5">
      <c r="A862" t="s">
        <v>2125</v>
      </c>
      <c r="B862" t="str">
        <f t="shared" ref="B862:B872" si="164">"OFF"</f>
        <v>OFF</v>
      </c>
    </row>
    <row r="863" spans="1:5">
      <c r="A863" t="s">
        <v>2126</v>
      </c>
      <c r="B863" t="str">
        <f t="shared" si="164"/>
        <v>OFF</v>
      </c>
    </row>
    <row r="864" spans="1:5">
      <c r="A864" t="s">
        <v>2127</v>
      </c>
      <c r="B864" t="str">
        <f t="shared" si="164"/>
        <v>OFF</v>
      </c>
    </row>
    <row r="865" spans="1:8">
      <c r="A865" t="s">
        <v>2128</v>
      </c>
      <c r="B865" t="str">
        <f t="shared" si="164"/>
        <v>OFF</v>
      </c>
    </row>
    <row r="866" spans="1:8">
      <c r="A866" t="s">
        <v>2129</v>
      </c>
      <c r="B866" t="str">
        <f t="shared" si="164"/>
        <v>OFF</v>
      </c>
    </row>
    <row r="867" spans="1:8">
      <c r="A867" t="s">
        <v>2130</v>
      </c>
      <c r="B867" t="str">
        <f t="shared" si="164"/>
        <v>OFF</v>
      </c>
    </row>
    <row r="868" spans="1:8">
      <c r="A868" t="s">
        <v>2131</v>
      </c>
      <c r="B868" t="str">
        <f t="shared" si="164"/>
        <v>OFF</v>
      </c>
    </row>
    <row r="869" spans="1:8">
      <c r="A869" t="s">
        <v>2132</v>
      </c>
      <c r="B869" t="str">
        <f t="shared" si="164"/>
        <v>OFF</v>
      </c>
    </row>
    <row r="870" spans="1:8">
      <c r="A870" t="s">
        <v>2133</v>
      </c>
      <c r="B870" t="str">
        <f t="shared" si="164"/>
        <v>OFF</v>
      </c>
    </row>
    <row r="871" spans="1:8">
      <c r="A871" t="s">
        <v>2134</v>
      </c>
      <c r="B871" t="str">
        <f t="shared" si="164"/>
        <v>OFF</v>
      </c>
    </row>
    <row r="872" spans="1:8">
      <c r="A872" t="s">
        <v>2135</v>
      </c>
      <c r="B872" t="str">
        <f t="shared" si="164"/>
        <v>OFF</v>
      </c>
    </row>
    <row r="874" spans="1:8">
      <c r="B874" t="s">
        <v>2136</v>
      </c>
      <c r="C874">
        <v>18</v>
      </c>
      <c r="D874">
        <v>7</v>
      </c>
      <c r="E874">
        <v>1</v>
      </c>
    </row>
    <row r="875" spans="1:8">
      <c r="B875" t="s">
        <v>2137</v>
      </c>
      <c r="C875" t="s">
        <v>2138</v>
      </c>
      <c r="D875" t="s">
        <v>2139</v>
      </c>
      <c r="E875" t="s">
        <v>2140</v>
      </c>
      <c r="F875" t="s">
        <v>2141</v>
      </c>
      <c r="G875" t="s">
        <v>2142</v>
      </c>
      <c r="H875" t="s">
        <v>2143</v>
      </c>
    </row>
    <row r="876" spans="1:8">
      <c r="A876" t="s">
        <v>2144</v>
      </c>
      <c r="B876" t="str">
        <f t="shared" ref="B876:H879" si="165">"INDPED"</f>
        <v>INDPED</v>
      </c>
      <c r="C876" t="str">
        <f t="shared" si="165"/>
        <v>INDPED</v>
      </c>
      <c r="D876" t="str">
        <f t="shared" si="165"/>
        <v>INDPED</v>
      </c>
      <c r="E876" t="str">
        <f t="shared" si="165"/>
        <v>INDPED</v>
      </c>
      <c r="F876" t="str">
        <f t="shared" si="165"/>
        <v>INDPED</v>
      </c>
      <c r="G876" t="str">
        <f t="shared" si="165"/>
        <v>INDPED</v>
      </c>
      <c r="H876" t="str">
        <f t="shared" si="165"/>
        <v>INDPED</v>
      </c>
    </row>
    <row r="877" spans="1:8">
      <c r="A877" t="s">
        <v>2145</v>
      </c>
      <c r="B877" t="str">
        <f t="shared" si="165"/>
        <v>INDPED</v>
      </c>
      <c r="C877" t="str">
        <f t="shared" si="165"/>
        <v>INDPED</v>
      </c>
      <c r="D877" t="str">
        <f t="shared" si="165"/>
        <v>INDPED</v>
      </c>
      <c r="E877" t="str">
        <f t="shared" si="165"/>
        <v>INDPED</v>
      </c>
      <c r="F877" t="str">
        <f t="shared" si="165"/>
        <v>INDPED</v>
      </c>
      <c r="G877" t="str">
        <f t="shared" si="165"/>
        <v>INDPED</v>
      </c>
      <c r="H877" t="str">
        <f t="shared" si="165"/>
        <v>INDPED</v>
      </c>
    </row>
    <row r="878" spans="1:8">
      <c r="A878" t="s">
        <v>2146</v>
      </c>
      <c r="B878" t="str">
        <f t="shared" si="165"/>
        <v>INDPED</v>
      </c>
      <c r="C878" t="str">
        <f t="shared" si="165"/>
        <v>INDPED</v>
      </c>
      <c r="D878" t="str">
        <f t="shared" si="165"/>
        <v>INDPED</v>
      </c>
      <c r="E878" t="str">
        <f t="shared" si="165"/>
        <v>INDPED</v>
      </c>
      <c r="F878" t="str">
        <f t="shared" si="165"/>
        <v>INDPED</v>
      </c>
      <c r="G878" t="str">
        <f t="shared" si="165"/>
        <v>INDPED</v>
      </c>
      <c r="H878" t="str">
        <f t="shared" si="165"/>
        <v>INDPED</v>
      </c>
    </row>
    <row r="879" spans="1:8">
      <c r="A879" t="s">
        <v>2147</v>
      </c>
      <c r="B879" t="str">
        <f t="shared" si="165"/>
        <v>INDPED</v>
      </c>
      <c r="C879" t="str">
        <f t="shared" si="165"/>
        <v>INDPED</v>
      </c>
      <c r="D879" t="str">
        <f t="shared" si="165"/>
        <v>INDPED</v>
      </c>
      <c r="E879" t="str">
        <f t="shared" si="165"/>
        <v>INDPED</v>
      </c>
      <c r="F879" t="str">
        <f t="shared" si="165"/>
        <v>INDPED</v>
      </c>
      <c r="G879" t="str">
        <f t="shared" si="165"/>
        <v>INDPED</v>
      </c>
      <c r="H879" t="str">
        <f t="shared" si="165"/>
        <v>INDPED</v>
      </c>
    </row>
    <row r="880" spans="1:8">
      <c r="A880" t="s">
        <v>2148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</row>
    <row r="881" spans="1:8">
      <c r="A881" t="s">
        <v>2149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>
      <c r="A882" t="s">
        <v>2150</v>
      </c>
      <c r="B882" t="str">
        <f t="shared" ref="B882:H891" si="166">"NO_RECYCLE"</f>
        <v>NO_RECYCLE</v>
      </c>
      <c r="C882" t="str">
        <f t="shared" si="166"/>
        <v>NO_RECYCLE</v>
      </c>
      <c r="D882" t="str">
        <f t="shared" si="166"/>
        <v>NO_RECYCLE</v>
      </c>
      <c r="E882" t="str">
        <f t="shared" si="166"/>
        <v>NO_RECYCLE</v>
      </c>
      <c r="F882" t="str">
        <f t="shared" si="166"/>
        <v>NO_RECYCLE</v>
      </c>
      <c r="G882" t="str">
        <f t="shared" si="166"/>
        <v>NO_RECYCLE</v>
      </c>
      <c r="H882" t="str">
        <f t="shared" si="166"/>
        <v>NO_RECYCLE</v>
      </c>
    </row>
    <row r="883" spans="1:8">
      <c r="A883" t="s">
        <v>2151</v>
      </c>
      <c r="B883" t="str">
        <f t="shared" si="166"/>
        <v>NO_RECYCLE</v>
      </c>
      <c r="C883" t="str">
        <f t="shared" si="166"/>
        <v>NO_RECYCLE</v>
      </c>
      <c r="D883" t="str">
        <f t="shared" si="166"/>
        <v>NO_RECYCLE</v>
      </c>
      <c r="E883" t="str">
        <f t="shared" si="166"/>
        <v>NO_RECYCLE</v>
      </c>
      <c r="F883" t="str">
        <f t="shared" si="166"/>
        <v>NO_RECYCLE</v>
      </c>
      <c r="G883" t="str">
        <f t="shared" si="166"/>
        <v>NO_RECYCLE</v>
      </c>
      <c r="H883" t="str">
        <f t="shared" si="166"/>
        <v>NO_RECYCLE</v>
      </c>
    </row>
    <row r="884" spans="1:8">
      <c r="A884" t="s">
        <v>2152</v>
      </c>
      <c r="B884" t="str">
        <f t="shared" si="166"/>
        <v>NO_RECYCLE</v>
      </c>
      <c r="C884" t="str">
        <f t="shared" si="166"/>
        <v>NO_RECYCLE</v>
      </c>
      <c r="D884" t="str">
        <f t="shared" si="166"/>
        <v>NO_RECYCLE</v>
      </c>
      <c r="E884" t="str">
        <f t="shared" si="166"/>
        <v>NO_RECYCLE</v>
      </c>
      <c r="F884" t="str">
        <f t="shared" si="166"/>
        <v>NO_RECYCLE</v>
      </c>
      <c r="G884" t="str">
        <f t="shared" si="166"/>
        <v>NO_RECYCLE</v>
      </c>
      <c r="H884" t="str">
        <f t="shared" si="166"/>
        <v>NO_RECYCLE</v>
      </c>
    </row>
    <row r="885" spans="1:8">
      <c r="A885" t="s">
        <v>2153</v>
      </c>
      <c r="B885" t="str">
        <f t="shared" si="166"/>
        <v>NO_RECYCLE</v>
      </c>
      <c r="C885" t="str">
        <f t="shared" si="166"/>
        <v>NO_RECYCLE</v>
      </c>
      <c r="D885" t="str">
        <f t="shared" si="166"/>
        <v>NO_RECYCLE</v>
      </c>
      <c r="E885" t="str">
        <f t="shared" si="166"/>
        <v>NO_RECYCLE</v>
      </c>
      <c r="F885" t="str">
        <f t="shared" si="166"/>
        <v>NO_RECYCLE</v>
      </c>
      <c r="G885" t="str">
        <f t="shared" si="166"/>
        <v>NO_RECYCLE</v>
      </c>
      <c r="H885" t="str">
        <f t="shared" si="166"/>
        <v>NO_RECYCLE</v>
      </c>
    </row>
    <row r="886" spans="1:8">
      <c r="A886" t="s">
        <v>2154</v>
      </c>
      <c r="B886" t="str">
        <f t="shared" si="166"/>
        <v>NO_RECYCLE</v>
      </c>
      <c r="C886" t="str">
        <f t="shared" si="166"/>
        <v>NO_RECYCLE</v>
      </c>
      <c r="D886" t="str">
        <f t="shared" si="166"/>
        <v>NO_RECYCLE</v>
      </c>
      <c r="E886" t="str">
        <f t="shared" si="166"/>
        <v>NO_RECYCLE</v>
      </c>
      <c r="F886" t="str">
        <f t="shared" si="166"/>
        <v>NO_RECYCLE</v>
      </c>
      <c r="G886" t="str">
        <f t="shared" si="166"/>
        <v>NO_RECYCLE</v>
      </c>
      <c r="H886" t="str">
        <f t="shared" si="166"/>
        <v>NO_RECYCLE</v>
      </c>
    </row>
    <row r="887" spans="1:8">
      <c r="A887" t="s">
        <v>2155</v>
      </c>
      <c r="B887" t="str">
        <f t="shared" si="166"/>
        <v>NO_RECYCLE</v>
      </c>
      <c r="C887" t="str">
        <f t="shared" si="166"/>
        <v>NO_RECYCLE</v>
      </c>
      <c r="D887" t="str">
        <f t="shared" si="166"/>
        <v>NO_RECYCLE</v>
      </c>
      <c r="E887" t="str">
        <f t="shared" si="166"/>
        <v>NO_RECYCLE</v>
      </c>
      <c r="F887" t="str">
        <f t="shared" si="166"/>
        <v>NO_RECYCLE</v>
      </c>
      <c r="G887" t="str">
        <f t="shared" si="166"/>
        <v>NO_RECYCLE</v>
      </c>
      <c r="H887" t="str">
        <f t="shared" si="166"/>
        <v>NO_RECYCLE</v>
      </c>
    </row>
    <row r="888" spans="1:8">
      <c r="A888" t="s">
        <v>2156</v>
      </c>
      <c r="B888" t="str">
        <f t="shared" si="166"/>
        <v>NO_RECYCLE</v>
      </c>
      <c r="C888" t="str">
        <f t="shared" si="166"/>
        <v>NO_RECYCLE</v>
      </c>
      <c r="D888" t="str">
        <f t="shared" si="166"/>
        <v>NO_RECYCLE</v>
      </c>
      <c r="E888" t="str">
        <f t="shared" si="166"/>
        <v>NO_RECYCLE</v>
      </c>
      <c r="F888" t="str">
        <f t="shared" si="166"/>
        <v>NO_RECYCLE</v>
      </c>
      <c r="G888" t="str">
        <f t="shared" si="166"/>
        <v>NO_RECYCLE</v>
      </c>
      <c r="H888" t="str">
        <f t="shared" si="166"/>
        <v>NO_RECYCLE</v>
      </c>
    </row>
    <row r="889" spans="1:8">
      <c r="A889" t="s">
        <v>2157</v>
      </c>
      <c r="B889" t="str">
        <f t="shared" si="166"/>
        <v>NO_RECYCLE</v>
      </c>
      <c r="C889" t="str">
        <f t="shared" si="166"/>
        <v>NO_RECYCLE</v>
      </c>
      <c r="D889" t="str">
        <f t="shared" si="166"/>
        <v>NO_RECYCLE</v>
      </c>
      <c r="E889" t="str">
        <f t="shared" si="166"/>
        <v>NO_RECYCLE</v>
      </c>
      <c r="F889" t="str">
        <f t="shared" si="166"/>
        <v>NO_RECYCLE</v>
      </c>
      <c r="G889" t="str">
        <f t="shared" si="166"/>
        <v>NO_RECYCLE</v>
      </c>
      <c r="H889" t="str">
        <f t="shared" si="166"/>
        <v>NO_RECYCLE</v>
      </c>
    </row>
    <row r="890" spans="1:8">
      <c r="A890" t="s">
        <v>2158</v>
      </c>
      <c r="B890" t="str">
        <f t="shared" si="166"/>
        <v>NO_RECYCLE</v>
      </c>
      <c r="C890" t="str">
        <f t="shared" si="166"/>
        <v>NO_RECYCLE</v>
      </c>
      <c r="D890" t="str">
        <f t="shared" si="166"/>
        <v>NO_RECYCLE</v>
      </c>
      <c r="E890" t="str">
        <f t="shared" si="166"/>
        <v>NO_RECYCLE</v>
      </c>
      <c r="F890" t="str">
        <f t="shared" si="166"/>
        <v>NO_RECYCLE</v>
      </c>
      <c r="G890" t="str">
        <f t="shared" si="166"/>
        <v>NO_RECYCLE</v>
      </c>
      <c r="H890" t="str">
        <f t="shared" si="166"/>
        <v>NO_RECYCLE</v>
      </c>
    </row>
    <row r="891" spans="1:8">
      <c r="A891" t="s">
        <v>2159</v>
      </c>
      <c r="B891" t="str">
        <f t="shared" si="166"/>
        <v>NO_RECYCLE</v>
      </c>
      <c r="C891" t="str">
        <f t="shared" si="166"/>
        <v>NO_RECYCLE</v>
      </c>
      <c r="D891" t="str">
        <f t="shared" si="166"/>
        <v>NO_RECYCLE</v>
      </c>
      <c r="E891" t="str">
        <f t="shared" si="166"/>
        <v>NO_RECYCLE</v>
      </c>
      <c r="F891" t="str">
        <f t="shared" si="166"/>
        <v>NO_RECYCLE</v>
      </c>
      <c r="G891" t="str">
        <f t="shared" si="166"/>
        <v>NO_RECYCLE</v>
      </c>
      <c r="H891" t="str">
        <f t="shared" si="166"/>
        <v>NO_RECYCLE</v>
      </c>
    </row>
    <row r="892" spans="1:8">
      <c r="A892" t="s">
        <v>751</v>
      </c>
      <c r="B892" t="str">
        <f t="shared" ref="B892:H892" si="167">"----"</f>
        <v>----</v>
      </c>
      <c r="C892" t="str">
        <f t="shared" si="167"/>
        <v>----</v>
      </c>
      <c r="D892" t="str">
        <f t="shared" si="167"/>
        <v>----</v>
      </c>
      <c r="E892" t="str">
        <f t="shared" si="167"/>
        <v>----</v>
      </c>
      <c r="F892" t="str">
        <f t="shared" si="167"/>
        <v>----</v>
      </c>
      <c r="G892" t="str">
        <f t="shared" si="167"/>
        <v>----</v>
      </c>
      <c r="H892" t="str">
        <f t="shared" si="167"/>
        <v>----</v>
      </c>
    </row>
    <row r="893" spans="1:8">
      <c r="A893" t="s">
        <v>2160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</row>
    <row r="895" spans="1:8">
      <c r="B895" t="s">
        <v>2161</v>
      </c>
      <c r="C895">
        <v>120</v>
      </c>
      <c r="D895">
        <v>1</v>
      </c>
      <c r="E895">
        <v>1</v>
      </c>
    </row>
    <row r="896" spans="1:8">
      <c r="B896" t="s">
        <v>2162</v>
      </c>
    </row>
    <row r="897" spans="1:2">
      <c r="A897" t="s">
        <v>2163</v>
      </c>
      <c r="B897" t="str">
        <f>"Off"</f>
        <v>Off</v>
      </c>
    </row>
    <row r="898" spans="1:2">
      <c r="A898" t="s">
        <v>2164</v>
      </c>
      <c r="B898" t="str">
        <f>"Off"</f>
        <v>Off</v>
      </c>
    </row>
    <row r="899" spans="1:2">
      <c r="A899" t="s">
        <v>2165</v>
      </c>
      <c r="B899" t="str">
        <f>"Off"</f>
        <v>Off</v>
      </c>
    </row>
    <row r="900" spans="1:2">
      <c r="A900" t="s">
        <v>2166</v>
      </c>
      <c r="B900" t="str">
        <f>"Off"</f>
        <v>Off</v>
      </c>
    </row>
    <row r="901" spans="1:2">
      <c r="A901" t="s">
        <v>2167</v>
      </c>
      <c r="B901" t="str">
        <f>"Off"</f>
        <v>Off</v>
      </c>
    </row>
    <row r="902" spans="1:2">
      <c r="A902" t="s">
        <v>2168</v>
      </c>
      <c r="B902" t="str">
        <f>"On"</f>
        <v>On</v>
      </c>
    </row>
    <row r="903" spans="1:2">
      <c r="A903" t="s">
        <v>2169</v>
      </c>
      <c r="B903" t="str">
        <f>"Off"</f>
        <v>Off</v>
      </c>
    </row>
    <row r="904" spans="1:2">
      <c r="A904" t="s">
        <v>2170</v>
      </c>
      <c r="B904" t="str">
        <f>"Off"</f>
        <v>Off</v>
      </c>
    </row>
    <row r="905" spans="1:2">
      <c r="A905" t="s">
        <v>2171</v>
      </c>
      <c r="B905" t="str">
        <f>"Off"</f>
        <v>Off</v>
      </c>
    </row>
    <row r="906" spans="1:2">
      <c r="A906" t="s">
        <v>2172</v>
      </c>
      <c r="B906" t="str">
        <f>"Off"</f>
        <v>Off</v>
      </c>
    </row>
    <row r="907" spans="1:2">
      <c r="A907" t="s">
        <v>2173</v>
      </c>
      <c r="B907" t="str">
        <f>"On"</f>
        <v>On</v>
      </c>
    </row>
    <row r="908" spans="1:2">
      <c r="A908" t="s">
        <v>2174</v>
      </c>
      <c r="B908" t="str">
        <f>"On"</f>
        <v>On</v>
      </c>
    </row>
    <row r="909" spans="1:2">
      <c r="A909" t="s">
        <v>2175</v>
      </c>
      <c r="B909" t="str">
        <f t="shared" ref="B909:B927" si="168">"Off"</f>
        <v>Off</v>
      </c>
    </row>
    <row r="910" spans="1:2">
      <c r="A910" t="s">
        <v>2176</v>
      </c>
      <c r="B910" t="str">
        <f t="shared" si="168"/>
        <v>Off</v>
      </c>
    </row>
    <row r="911" spans="1:2">
      <c r="A911" t="s">
        <v>2177</v>
      </c>
      <c r="B911" t="str">
        <f t="shared" si="168"/>
        <v>Off</v>
      </c>
    </row>
    <row r="912" spans="1:2">
      <c r="A912" t="s">
        <v>2178</v>
      </c>
      <c r="B912" t="str">
        <f t="shared" si="168"/>
        <v>Off</v>
      </c>
    </row>
    <row r="913" spans="1:2">
      <c r="A913" t="s">
        <v>2179</v>
      </c>
      <c r="B913" t="str">
        <f t="shared" si="168"/>
        <v>Off</v>
      </c>
    </row>
    <row r="914" spans="1:2">
      <c r="A914" t="s">
        <v>2180</v>
      </c>
      <c r="B914" t="str">
        <f t="shared" si="168"/>
        <v>Off</v>
      </c>
    </row>
    <row r="915" spans="1:2">
      <c r="A915" t="s">
        <v>2181</v>
      </c>
      <c r="B915" t="str">
        <f t="shared" si="168"/>
        <v>Off</v>
      </c>
    </row>
    <row r="916" spans="1:2">
      <c r="A916" t="s">
        <v>2182</v>
      </c>
      <c r="B916" t="str">
        <f t="shared" si="168"/>
        <v>Off</v>
      </c>
    </row>
    <row r="917" spans="1:2">
      <c r="A917" t="s">
        <v>2183</v>
      </c>
      <c r="B917" t="str">
        <f t="shared" si="168"/>
        <v>Off</v>
      </c>
    </row>
    <row r="918" spans="1:2">
      <c r="A918" t="s">
        <v>2184</v>
      </c>
      <c r="B918" t="str">
        <f t="shared" si="168"/>
        <v>Off</v>
      </c>
    </row>
    <row r="919" spans="1:2">
      <c r="A919" t="s">
        <v>2185</v>
      </c>
      <c r="B919" t="str">
        <f t="shared" si="168"/>
        <v>Off</v>
      </c>
    </row>
    <row r="920" spans="1:2">
      <c r="A920" t="s">
        <v>2186</v>
      </c>
      <c r="B920" t="str">
        <f t="shared" si="168"/>
        <v>Off</v>
      </c>
    </row>
    <row r="921" spans="1:2">
      <c r="A921" t="s">
        <v>2187</v>
      </c>
      <c r="B921" t="str">
        <f t="shared" si="168"/>
        <v>Off</v>
      </c>
    </row>
    <row r="922" spans="1:2">
      <c r="A922" t="s">
        <v>2188</v>
      </c>
      <c r="B922" t="str">
        <f t="shared" si="168"/>
        <v>Off</v>
      </c>
    </row>
    <row r="923" spans="1:2">
      <c r="A923" t="s">
        <v>2189</v>
      </c>
      <c r="B923" t="str">
        <f t="shared" si="168"/>
        <v>Off</v>
      </c>
    </row>
    <row r="924" spans="1:2">
      <c r="A924" t="s">
        <v>2190</v>
      </c>
      <c r="B924" t="str">
        <f t="shared" si="168"/>
        <v>Off</v>
      </c>
    </row>
    <row r="925" spans="1:2">
      <c r="A925" t="s">
        <v>2191</v>
      </c>
      <c r="B925" t="str">
        <f t="shared" si="168"/>
        <v>Off</v>
      </c>
    </row>
    <row r="926" spans="1:2">
      <c r="A926" t="s">
        <v>2192</v>
      </c>
      <c r="B926" t="str">
        <f t="shared" si="168"/>
        <v>Off</v>
      </c>
    </row>
    <row r="927" spans="1:2">
      <c r="A927" t="s">
        <v>2193</v>
      </c>
      <c r="B927" t="str">
        <f t="shared" si="168"/>
        <v>Off</v>
      </c>
    </row>
    <row r="928" spans="1:2">
      <c r="A928" t="s">
        <v>2194</v>
      </c>
      <c r="B928" t="str">
        <f>"On"</f>
        <v>On</v>
      </c>
    </row>
    <row r="929" spans="1:2">
      <c r="A929" t="s">
        <v>2195</v>
      </c>
      <c r="B929" t="str">
        <f>"Off"</f>
        <v>Off</v>
      </c>
    </row>
    <row r="930" spans="1:2">
      <c r="A930" t="s">
        <v>2196</v>
      </c>
      <c r="B930" t="str">
        <f>"Off"</f>
        <v>Off</v>
      </c>
    </row>
    <row r="931" spans="1:2">
      <c r="A931" t="s">
        <v>2197</v>
      </c>
      <c r="B931" t="str">
        <f>"On"</f>
        <v>On</v>
      </c>
    </row>
    <row r="932" spans="1:2">
      <c r="A932" t="s">
        <v>2198</v>
      </c>
      <c r="B932" t="str">
        <f>"Off"</f>
        <v>Off</v>
      </c>
    </row>
    <row r="933" spans="1:2">
      <c r="A933" t="s">
        <v>2199</v>
      </c>
      <c r="B933" t="str">
        <f>"Off"</f>
        <v>Off</v>
      </c>
    </row>
    <row r="934" spans="1:2">
      <c r="A934" t="s">
        <v>2200</v>
      </c>
      <c r="B934" t="str">
        <f>"Off"</f>
        <v>Off</v>
      </c>
    </row>
    <row r="935" spans="1:2">
      <c r="A935" t="s">
        <v>2201</v>
      </c>
      <c r="B935" t="str">
        <f>"Off"</f>
        <v>Off</v>
      </c>
    </row>
    <row r="936" spans="1:2">
      <c r="A936" t="s">
        <v>2202</v>
      </c>
      <c r="B936" t="str">
        <f>"On"</f>
        <v>On</v>
      </c>
    </row>
    <row r="937" spans="1:2">
      <c r="A937" t="s">
        <v>2203</v>
      </c>
      <c r="B937" t="str">
        <f>"Off"</f>
        <v>Off</v>
      </c>
    </row>
    <row r="938" spans="1:2">
      <c r="A938" t="s">
        <v>2204</v>
      </c>
      <c r="B938" t="str">
        <f>"On"</f>
        <v>On</v>
      </c>
    </row>
    <row r="939" spans="1:2">
      <c r="A939" t="s">
        <v>2205</v>
      </c>
      <c r="B939" t="str">
        <f>"Off"</f>
        <v>Off</v>
      </c>
    </row>
    <row r="940" spans="1:2">
      <c r="A940" t="s">
        <v>2206</v>
      </c>
      <c r="B940" t="str">
        <f>"Off"</f>
        <v>Off</v>
      </c>
    </row>
    <row r="941" spans="1:2">
      <c r="A941" t="s">
        <v>2207</v>
      </c>
      <c r="B941" t="str">
        <f>"Off"</f>
        <v>Off</v>
      </c>
    </row>
    <row r="942" spans="1:2">
      <c r="A942" t="s">
        <v>2208</v>
      </c>
      <c r="B942" t="str">
        <f>"On"</f>
        <v>On</v>
      </c>
    </row>
    <row r="943" spans="1:2">
      <c r="A943" t="s">
        <v>2209</v>
      </c>
      <c r="B943" t="str">
        <f>"On"</f>
        <v>On</v>
      </c>
    </row>
    <row r="944" spans="1:2">
      <c r="A944" t="s">
        <v>2210</v>
      </c>
      <c r="B944" t="str">
        <f t="shared" ref="B944:B952" si="169">"Off"</f>
        <v>Off</v>
      </c>
    </row>
    <row r="945" spans="1:2">
      <c r="A945" t="s">
        <v>2211</v>
      </c>
      <c r="B945" t="str">
        <f t="shared" si="169"/>
        <v>Off</v>
      </c>
    </row>
    <row r="946" spans="1:2">
      <c r="A946" t="s">
        <v>2212</v>
      </c>
      <c r="B946" t="str">
        <f t="shared" si="169"/>
        <v>Off</v>
      </c>
    </row>
    <row r="947" spans="1:2">
      <c r="A947" t="s">
        <v>2213</v>
      </c>
      <c r="B947" t="str">
        <f t="shared" si="169"/>
        <v>Off</v>
      </c>
    </row>
    <row r="948" spans="1:2">
      <c r="A948" t="s">
        <v>2214</v>
      </c>
      <c r="B948" t="str">
        <f t="shared" si="169"/>
        <v>Off</v>
      </c>
    </row>
    <row r="949" spans="1:2">
      <c r="A949" t="s">
        <v>2215</v>
      </c>
      <c r="B949" t="str">
        <f t="shared" si="169"/>
        <v>Off</v>
      </c>
    </row>
    <row r="950" spans="1:2">
      <c r="A950" t="s">
        <v>2216</v>
      </c>
      <c r="B950" t="str">
        <f t="shared" si="169"/>
        <v>Off</v>
      </c>
    </row>
    <row r="951" spans="1:2">
      <c r="A951" t="s">
        <v>2217</v>
      </c>
      <c r="B951" t="str">
        <f t="shared" si="169"/>
        <v>Off</v>
      </c>
    </row>
    <row r="952" spans="1:2">
      <c r="A952" t="s">
        <v>2218</v>
      </c>
      <c r="B952" t="str">
        <f t="shared" si="169"/>
        <v>Off</v>
      </c>
    </row>
    <row r="953" spans="1:2">
      <c r="A953" t="s">
        <v>2219</v>
      </c>
      <c r="B953" t="str">
        <f>"On"</f>
        <v>On</v>
      </c>
    </row>
    <row r="954" spans="1:2">
      <c r="A954" t="s">
        <v>2220</v>
      </c>
      <c r="B954" t="str">
        <f>"Off"</f>
        <v>Off</v>
      </c>
    </row>
    <row r="955" spans="1:2">
      <c r="A955" t="s">
        <v>2221</v>
      </c>
      <c r="B955" t="str">
        <f>"Off"</f>
        <v>Off</v>
      </c>
    </row>
    <row r="956" spans="1:2">
      <c r="A956" t="s">
        <v>2222</v>
      </c>
      <c r="B956" t="str">
        <f>"Off"</f>
        <v>Off</v>
      </c>
    </row>
    <row r="957" spans="1:2">
      <c r="A957" t="s">
        <v>2223</v>
      </c>
      <c r="B957" t="str">
        <f>"On"</f>
        <v>On</v>
      </c>
    </row>
    <row r="958" spans="1:2">
      <c r="A958" t="s">
        <v>2224</v>
      </c>
      <c r="B958" t="str">
        <f>"On"</f>
        <v>On</v>
      </c>
    </row>
    <row r="959" spans="1:2">
      <c r="A959" t="s">
        <v>2225</v>
      </c>
      <c r="B959" t="str">
        <f>"Off"</f>
        <v>Off</v>
      </c>
    </row>
    <row r="960" spans="1:2">
      <c r="A960" t="s">
        <v>2226</v>
      </c>
      <c r="B960" t="str">
        <f>"Off"</f>
        <v>Off</v>
      </c>
    </row>
    <row r="961" spans="1:2">
      <c r="A961" t="s">
        <v>2227</v>
      </c>
      <c r="B961" t="str">
        <f>"Off"</f>
        <v>Off</v>
      </c>
    </row>
    <row r="962" spans="1:2">
      <c r="A962" t="s">
        <v>2228</v>
      </c>
      <c r="B962" t="str">
        <f>"Off"</f>
        <v>Off</v>
      </c>
    </row>
    <row r="963" spans="1:2">
      <c r="A963" t="s">
        <v>2229</v>
      </c>
      <c r="B963" t="str">
        <f>"Off"</f>
        <v>Off</v>
      </c>
    </row>
    <row r="964" spans="1:2">
      <c r="A964" t="s">
        <v>2230</v>
      </c>
      <c r="B964" t="str">
        <f>"On"</f>
        <v>On</v>
      </c>
    </row>
    <row r="965" spans="1:2">
      <c r="A965" t="s">
        <v>2231</v>
      </c>
      <c r="B965" t="str">
        <f>"Off"</f>
        <v>Off</v>
      </c>
    </row>
    <row r="966" spans="1:2">
      <c r="A966" t="s">
        <v>2232</v>
      </c>
      <c r="B966" t="str">
        <f>"On"</f>
        <v>On</v>
      </c>
    </row>
    <row r="967" spans="1:2">
      <c r="A967" t="s">
        <v>2233</v>
      </c>
      <c r="B967" t="str">
        <f>"Off"</f>
        <v>Off</v>
      </c>
    </row>
    <row r="968" spans="1:2">
      <c r="A968" t="s">
        <v>2234</v>
      </c>
      <c r="B968" t="str">
        <f>"Off"</f>
        <v>Off</v>
      </c>
    </row>
    <row r="969" spans="1:2">
      <c r="A969" t="s">
        <v>2235</v>
      </c>
      <c r="B969" t="str">
        <f>"On"</f>
        <v>On</v>
      </c>
    </row>
    <row r="970" spans="1:2">
      <c r="A970" t="s">
        <v>2236</v>
      </c>
      <c r="B970" t="str">
        <f>"On"</f>
        <v>On</v>
      </c>
    </row>
    <row r="971" spans="1:2">
      <c r="A971" t="s">
        <v>2237</v>
      </c>
      <c r="B971" t="str">
        <f>"Off"</f>
        <v>Off</v>
      </c>
    </row>
    <row r="972" spans="1:2">
      <c r="A972" t="s">
        <v>2238</v>
      </c>
      <c r="B972" t="str">
        <f>"Off"</f>
        <v>Off</v>
      </c>
    </row>
    <row r="973" spans="1:2">
      <c r="A973" t="s">
        <v>2239</v>
      </c>
      <c r="B973" t="str">
        <f>"Off"</f>
        <v>Off</v>
      </c>
    </row>
    <row r="974" spans="1:2">
      <c r="A974" t="s">
        <v>2240</v>
      </c>
      <c r="B974" t="str">
        <f>"Off"</f>
        <v>Off</v>
      </c>
    </row>
    <row r="975" spans="1:2">
      <c r="A975" t="s">
        <v>2241</v>
      </c>
      <c r="B975" t="str">
        <f>"On"</f>
        <v>On</v>
      </c>
    </row>
    <row r="976" spans="1:2">
      <c r="A976" t="s">
        <v>2242</v>
      </c>
      <c r="B976" t="str">
        <f t="shared" ref="B976:B985" si="170">"Off"</f>
        <v>Off</v>
      </c>
    </row>
    <row r="977" spans="1:2">
      <c r="A977" t="s">
        <v>2243</v>
      </c>
      <c r="B977" t="str">
        <f t="shared" si="170"/>
        <v>Off</v>
      </c>
    </row>
    <row r="978" spans="1:2">
      <c r="A978" t="s">
        <v>2244</v>
      </c>
      <c r="B978" t="str">
        <f t="shared" si="170"/>
        <v>Off</v>
      </c>
    </row>
    <row r="979" spans="1:2">
      <c r="A979" t="s">
        <v>2245</v>
      </c>
      <c r="B979" t="str">
        <f t="shared" si="170"/>
        <v>Off</v>
      </c>
    </row>
    <row r="980" spans="1:2">
      <c r="A980" t="s">
        <v>2246</v>
      </c>
      <c r="B980" t="str">
        <f t="shared" si="170"/>
        <v>Off</v>
      </c>
    </row>
    <row r="981" spans="1:2">
      <c r="A981" t="s">
        <v>2247</v>
      </c>
      <c r="B981" t="str">
        <f t="shared" si="170"/>
        <v>Off</v>
      </c>
    </row>
    <row r="982" spans="1:2">
      <c r="A982" t="s">
        <v>2248</v>
      </c>
      <c r="B982" t="str">
        <f t="shared" si="170"/>
        <v>Off</v>
      </c>
    </row>
    <row r="983" spans="1:2">
      <c r="A983" t="s">
        <v>2249</v>
      </c>
      <c r="B983" t="str">
        <f t="shared" si="170"/>
        <v>Off</v>
      </c>
    </row>
    <row r="984" spans="1:2">
      <c r="A984" t="s">
        <v>2250</v>
      </c>
      <c r="B984" t="str">
        <f t="shared" si="170"/>
        <v>Off</v>
      </c>
    </row>
    <row r="985" spans="1:2">
      <c r="A985" t="s">
        <v>2251</v>
      </c>
      <c r="B985" t="str">
        <f t="shared" si="170"/>
        <v>Off</v>
      </c>
    </row>
    <row r="986" spans="1:2">
      <c r="A986" t="s">
        <v>2252</v>
      </c>
      <c r="B986" t="str">
        <f>"On"</f>
        <v>On</v>
      </c>
    </row>
    <row r="987" spans="1:2">
      <c r="A987" t="s">
        <v>2253</v>
      </c>
      <c r="B987" t="str">
        <f>"Off"</f>
        <v>Off</v>
      </c>
    </row>
    <row r="988" spans="1:2">
      <c r="A988" t="s">
        <v>2254</v>
      </c>
      <c r="B988" t="str">
        <f>"On"</f>
        <v>On</v>
      </c>
    </row>
    <row r="989" spans="1:2">
      <c r="A989" t="s">
        <v>2255</v>
      </c>
      <c r="B989" t="str">
        <f t="shared" ref="B989:B996" si="171">"Off"</f>
        <v>Off</v>
      </c>
    </row>
    <row r="990" spans="1:2">
      <c r="A990" t="s">
        <v>2256</v>
      </c>
      <c r="B990" t="str">
        <f t="shared" si="171"/>
        <v>Off</v>
      </c>
    </row>
    <row r="991" spans="1:2">
      <c r="A991" t="s">
        <v>2257</v>
      </c>
      <c r="B991" t="str">
        <f t="shared" si="171"/>
        <v>Off</v>
      </c>
    </row>
    <row r="992" spans="1:2">
      <c r="A992" t="s">
        <v>2258</v>
      </c>
      <c r="B992" t="str">
        <f t="shared" si="171"/>
        <v>Off</v>
      </c>
    </row>
    <row r="993" spans="1:2">
      <c r="A993" t="s">
        <v>2259</v>
      </c>
      <c r="B993" t="str">
        <f t="shared" si="171"/>
        <v>Off</v>
      </c>
    </row>
    <row r="994" spans="1:2">
      <c r="A994" t="s">
        <v>2260</v>
      </c>
      <c r="B994" t="str">
        <f t="shared" si="171"/>
        <v>Off</v>
      </c>
    </row>
    <row r="995" spans="1:2">
      <c r="A995" t="s">
        <v>2261</v>
      </c>
      <c r="B995" t="str">
        <f t="shared" si="171"/>
        <v>Off</v>
      </c>
    </row>
    <row r="996" spans="1:2">
      <c r="A996" t="s">
        <v>2262</v>
      </c>
      <c r="B996" t="str">
        <f t="shared" si="171"/>
        <v>Off</v>
      </c>
    </row>
    <row r="997" spans="1:2">
      <c r="A997" t="s">
        <v>2263</v>
      </c>
      <c r="B997" t="str">
        <f>"On"</f>
        <v>On</v>
      </c>
    </row>
    <row r="998" spans="1:2">
      <c r="A998" t="s">
        <v>2264</v>
      </c>
      <c r="B998" t="str">
        <f t="shared" ref="B998:B1005" si="172">"Off"</f>
        <v>Off</v>
      </c>
    </row>
    <row r="999" spans="1:2">
      <c r="A999" t="s">
        <v>2265</v>
      </c>
      <c r="B999" t="str">
        <f t="shared" si="172"/>
        <v>Off</v>
      </c>
    </row>
    <row r="1000" spans="1:2">
      <c r="A1000" t="s">
        <v>2266</v>
      </c>
      <c r="B1000" t="str">
        <f t="shared" si="172"/>
        <v>Off</v>
      </c>
    </row>
    <row r="1001" spans="1:2">
      <c r="A1001" t="s">
        <v>2267</v>
      </c>
      <c r="B1001" t="str">
        <f t="shared" si="172"/>
        <v>Off</v>
      </c>
    </row>
    <row r="1002" spans="1:2">
      <c r="A1002" t="s">
        <v>2268</v>
      </c>
      <c r="B1002" t="str">
        <f t="shared" si="172"/>
        <v>Off</v>
      </c>
    </row>
    <row r="1003" spans="1:2">
      <c r="A1003" t="s">
        <v>2269</v>
      </c>
      <c r="B1003" t="str">
        <f t="shared" si="172"/>
        <v>Off</v>
      </c>
    </row>
    <row r="1004" spans="1:2">
      <c r="A1004" t="s">
        <v>2270</v>
      </c>
      <c r="B1004" t="str">
        <f t="shared" si="172"/>
        <v>Off</v>
      </c>
    </row>
    <row r="1005" spans="1:2">
      <c r="A1005" t="s">
        <v>2271</v>
      </c>
      <c r="B1005" t="str">
        <f t="shared" si="172"/>
        <v>Off</v>
      </c>
    </row>
    <row r="1006" spans="1:2">
      <c r="A1006" t="s">
        <v>2272</v>
      </c>
      <c r="B1006" t="str">
        <f>"On"</f>
        <v>On</v>
      </c>
    </row>
    <row r="1007" spans="1:2">
      <c r="A1007" t="s">
        <v>2273</v>
      </c>
      <c r="B1007" t="str">
        <f>"Off"</f>
        <v>Off</v>
      </c>
    </row>
    <row r="1008" spans="1:2">
      <c r="A1008" t="s">
        <v>2274</v>
      </c>
      <c r="B1008" t="str">
        <f>"On"</f>
        <v>On</v>
      </c>
    </row>
    <row r="1009" spans="1:17">
      <c r="A1009" t="s">
        <v>2275</v>
      </c>
      <c r="B1009" t="str">
        <f t="shared" ref="B1009:B1016" si="173">"Off"</f>
        <v>Off</v>
      </c>
    </row>
    <row r="1010" spans="1:17">
      <c r="A1010" t="s">
        <v>2276</v>
      </c>
      <c r="B1010" t="str">
        <f t="shared" si="173"/>
        <v>Off</v>
      </c>
    </row>
    <row r="1011" spans="1:17">
      <c r="A1011" t="s">
        <v>2277</v>
      </c>
      <c r="B1011" t="str">
        <f t="shared" si="173"/>
        <v>Off</v>
      </c>
    </row>
    <row r="1012" spans="1:17">
      <c r="A1012" t="s">
        <v>2278</v>
      </c>
      <c r="B1012" t="str">
        <f t="shared" si="173"/>
        <v>Off</v>
      </c>
    </row>
    <row r="1013" spans="1:17">
      <c r="A1013" t="s">
        <v>2279</v>
      </c>
      <c r="B1013" t="str">
        <f t="shared" si="173"/>
        <v>Off</v>
      </c>
    </row>
    <row r="1014" spans="1:17">
      <c r="A1014" t="s">
        <v>2280</v>
      </c>
      <c r="B1014" t="str">
        <f t="shared" si="173"/>
        <v>Off</v>
      </c>
    </row>
    <row r="1015" spans="1:17">
      <c r="A1015" t="s">
        <v>2281</v>
      </c>
      <c r="B1015" t="str">
        <f t="shared" si="173"/>
        <v>Off</v>
      </c>
    </row>
    <row r="1016" spans="1:17">
      <c r="A1016" t="s">
        <v>2282</v>
      </c>
      <c r="B1016" t="str">
        <f t="shared" si="173"/>
        <v>Off</v>
      </c>
    </row>
    <row r="1018" spans="1:17">
      <c r="B1018" t="s">
        <v>2283</v>
      </c>
      <c r="C1018">
        <v>1</v>
      </c>
      <c r="D1018">
        <v>16</v>
      </c>
      <c r="E1018">
        <v>1</v>
      </c>
    </row>
    <row r="1019" spans="1:17">
      <c r="B1019" t="s">
        <v>2162</v>
      </c>
      <c r="C1019" t="s">
        <v>2284</v>
      </c>
      <c r="D1019" t="s">
        <v>2285</v>
      </c>
      <c r="E1019" t="s">
        <v>2286</v>
      </c>
      <c r="F1019" t="s">
        <v>2287</v>
      </c>
      <c r="G1019" t="s">
        <v>2288</v>
      </c>
      <c r="H1019" t="s">
        <v>2289</v>
      </c>
      <c r="I1019" t="s">
        <v>2290</v>
      </c>
      <c r="J1019" t="s">
        <v>2291</v>
      </c>
      <c r="K1019" t="s">
        <v>2292</v>
      </c>
      <c r="L1019" t="s">
        <v>2293</v>
      </c>
      <c r="M1019" t="s">
        <v>2294</v>
      </c>
      <c r="N1019" t="s">
        <v>2295</v>
      </c>
      <c r="O1019" t="s">
        <v>2296</v>
      </c>
      <c r="P1019" t="s">
        <v>2297</v>
      </c>
      <c r="Q1019" t="s">
        <v>2298</v>
      </c>
    </row>
    <row r="1020" spans="1:17">
      <c r="A1020" t="s">
        <v>2299</v>
      </c>
      <c r="B1020">
        <v>1</v>
      </c>
      <c r="C1020">
        <v>2</v>
      </c>
      <c r="D1020">
        <v>3</v>
      </c>
      <c r="E1020">
        <v>4</v>
      </c>
      <c r="F1020">
        <v>5</v>
      </c>
      <c r="G1020">
        <v>6</v>
      </c>
      <c r="H1020">
        <v>7</v>
      </c>
      <c r="I1020">
        <v>8</v>
      </c>
      <c r="J1020">
        <v>9</v>
      </c>
      <c r="K1020">
        <v>10</v>
      </c>
      <c r="L1020">
        <v>11</v>
      </c>
      <c r="M1020">
        <v>12</v>
      </c>
      <c r="N1020">
        <v>13</v>
      </c>
      <c r="O1020">
        <v>14</v>
      </c>
      <c r="P1020">
        <v>15</v>
      </c>
      <c r="Q1020">
        <v>16</v>
      </c>
    </row>
    <row r="1022" spans="1:17">
      <c r="B1022" t="s">
        <v>2300</v>
      </c>
      <c r="C1022">
        <v>45</v>
      </c>
      <c r="D1022">
        <v>4</v>
      </c>
      <c r="E1022">
        <v>1</v>
      </c>
    </row>
    <row r="1023" spans="1:17">
      <c r="B1023" t="s">
        <v>2301</v>
      </c>
      <c r="C1023" t="s">
        <v>2302</v>
      </c>
      <c r="D1023" t="s">
        <v>2303</v>
      </c>
      <c r="E1023" t="s">
        <v>2304</v>
      </c>
    </row>
    <row r="1024" spans="1:17">
      <c r="A1024" t="s">
        <v>2305</v>
      </c>
      <c r="B1024">
        <v>0</v>
      </c>
      <c r="C1024">
        <v>0</v>
      </c>
      <c r="D1024">
        <v>0</v>
      </c>
      <c r="E1024">
        <v>0</v>
      </c>
    </row>
    <row r="1025" spans="1:5">
      <c r="A1025" t="s">
        <v>2306</v>
      </c>
      <c r="B1025">
        <v>0</v>
      </c>
      <c r="C1025">
        <v>0</v>
      </c>
      <c r="D1025">
        <v>0</v>
      </c>
      <c r="E1025">
        <v>0</v>
      </c>
    </row>
    <row r="1026" spans="1:5">
      <c r="A1026" t="s">
        <v>2307</v>
      </c>
      <c r="B1026">
        <v>0</v>
      </c>
      <c r="C1026">
        <v>0</v>
      </c>
      <c r="D1026">
        <v>0</v>
      </c>
      <c r="E1026">
        <v>0</v>
      </c>
    </row>
    <row r="1027" spans="1:5">
      <c r="A1027" t="s">
        <v>2308</v>
      </c>
      <c r="B1027">
        <v>0</v>
      </c>
      <c r="C1027">
        <v>0</v>
      </c>
      <c r="D1027">
        <v>0</v>
      </c>
      <c r="E1027">
        <v>0</v>
      </c>
    </row>
    <row r="1028" spans="1:5">
      <c r="A1028" t="s">
        <v>2309</v>
      </c>
      <c r="B1028">
        <v>0</v>
      </c>
      <c r="C1028">
        <v>0</v>
      </c>
      <c r="D1028">
        <v>0</v>
      </c>
      <c r="E1028">
        <v>0</v>
      </c>
    </row>
    <row r="1029" spans="1:5">
      <c r="A1029" t="s">
        <v>2310</v>
      </c>
      <c r="B1029">
        <v>0</v>
      </c>
      <c r="C1029">
        <v>0</v>
      </c>
      <c r="D1029">
        <v>0</v>
      </c>
      <c r="E1029">
        <v>0</v>
      </c>
    </row>
    <row r="1030" spans="1:5">
      <c r="A1030" t="s">
        <v>2311</v>
      </c>
      <c r="B1030">
        <v>0</v>
      </c>
      <c r="C1030">
        <v>0</v>
      </c>
      <c r="D1030">
        <v>0</v>
      </c>
      <c r="E1030">
        <v>0</v>
      </c>
    </row>
    <row r="1031" spans="1:5">
      <c r="A1031" t="s">
        <v>2312</v>
      </c>
      <c r="B1031">
        <v>0</v>
      </c>
      <c r="C1031">
        <v>0</v>
      </c>
      <c r="D1031">
        <v>0</v>
      </c>
      <c r="E1031">
        <v>0</v>
      </c>
    </row>
    <row r="1032" spans="1:5">
      <c r="A1032" t="s">
        <v>2313</v>
      </c>
      <c r="B1032">
        <v>0</v>
      </c>
      <c r="C1032">
        <v>0</v>
      </c>
      <c r="D1032">
        <v>0</v>
      </c>
      <c r="E1032">
        <v>0</v>
      </c>
    </row>
    <row r="1033" spans="1:5">
      <c r="A1033" t="s">
        <v>2314</v>
      </c>
      <c r="B1033">
        <v>0</v>
      </c>
      <c r="C1033">
        <v>0</v>
      </c>
      <c r="D1033">
        <v>0</v>
      </c>
      <c r="E1033">
        <v>0</v>
      </c>
    </row>
    <row r="1034" spans="1:5">
      <c r="A1034" t="s">
        <v>2315</v>
      </c>
      <c r="B1034">
        <v>0</v>
      </c>
      <c r="C1034">
        <v>0</v>
      </c>
      <c r="D1034">
        <v>0</v>
      </c>
      <c r="E1034">
        <v>0</v>
      </c>
    </row>
    <row r="1035" spans="1:5">
      <c r="A1035" t="s">
        <v>2316</v>
      </c>
      <c r="B1035">
        <v>0</v>
      </c>
      <c r="C1035">
        <v>0</v>
      </c>
      <c r="D1035">
        <v>0</v>
      </c>
      <c r="E1035">
        <v>0</v>
      </c>
    </row>
    <row r="1036" spans="1:5">
      <c r="A1036" t="s">
        <v>2317</v>
      </c>
      <c r="B1036">
        <v>0</v>
      </c>
      <c r="C1036">
        <v>0</v>
      </c>
      <c r="D1036">
        <v>0</v>
      </c>
      <c r="E1036">
        <v>0</v>
      </c>
    </row>
    <row r="1037" spans="1:5">
      <c r="A1037" t="s">
        <v>2318</v>
      </c>
      <c r="B1037">
        <v>0</v>
      </c>
      <c r="C1037">
        <v>0</v>
      </c>
      <c r="D1037">
        <v>0</v>
      </c>
      <c r="E1037">
        <v>0</v>
      </c>
    </row>
    <row r="1038" spans="1:5">
      <c r="A1038" t="s">
        <v>2319</v>
      </c>
      <c r="B1038">
        <v>0</v>
      </c>
      <c r="C1038">
        <v>0</v>
      </c>
      <c r="D1038">
        <v>0</v>
      </c>
      <c r="E1038">
        <v>0</v>
      </c>
    </row>
    <row r="1039" spans="1:5">
      <c r="A1039" t="s">
        <v>2320</v>
      </c>
      <c r="B1039">
        <v>0</v>
      </c>
      <c r="C1039">
        <v>0</v>
      </c>
      <c r="D1039">
        <v>0</v>
      </c>
      <c r="E1039">
        <v>0</v>
      </c>
    </row>
    <row r="1040" spans="1:5">
      <c r="A1040" t="s">
        <v>2321</v>
      </c>
      <c r="B1040">
        <v>0</v>
      </c>
      <c r="C1040">
        <v>0</v>
      </c>
      <c r="D1040">
        <v>0</v>
      </c>
      <c r="E1040">
        <v>0</v>
      </c>
    </row>
    <row r="1041" spans="1:5">
      <c r="A1041" t="s">
        <v>2322</v>
      </c>
      <c r="B1041">
        <v>0</v>
      </c>
      <c r="C1041">
        <v>0</v>
      </c>
      <c r="D1041">
        <v>0</v>
      </c>
      <c r="E1041">
        <v>0</v>
      </c>
    </row>
    <row r="1042" spans="1:5">
      <c r="A1042" t="s">
        <v>2323</v>
      </c>
      <c r="B1042">
        <v>0</v>
      </c>
      <c r="C1042">
        <v>0</v>
      </c>
      <c r="D1042">
        <v>0</v>
      </c>
      <c r="E1042">
        <v>0</v>
      </c>
    </row>
    <row r="1043" spans="1:5">
      <c r="A1043" t="s">
        <v>2324</v>
      </c>
      <c r="B1043">
        <v>0</v>
      </c>
      <c r="C1043">
        <v>0</v>
      </c>
      <c r="D1043">
        <v>0</v>
      </c>
      <c r="E1043">
        <v>0</v>
      </c>
    </row>
    <row r="1044" spans="1:5">
      <c r="A1044" t="s">
        <v>2325</v>
      </c>
      <c r="B1044">
        <v>0</v>
      </c>
      <c r="C1044">
        <v>0</v>
      </c>
      <c r="D1044">
        <v>0</v>
      </c>
      <c r="E1044">
        <v>0</v>
      </c>
    </row>
    <row r="1045" spans="1:5">
      <c r="A1045" t="s">
        <v>2326</v>
      </c>
      <c r="B1045">
        <v>0</v>
      </c>
      <c r="C1045">
        <v>0</v>
      </c>
      <c r="D1045">
        <v>0</v>
      </c>
      <c r="E1045">
        <v>0</v>
      </c>
    </row>
    <row r="1046" spans="1:5">
      <c r="A1046" t="s">
        <v>2327</v>
      </c>
      <c r="B1046">
        <v>0</v>
      </c>
      <c r="C1046">
        <v>0</v>
      </c>
      <c r="D1046">
        <v>0</v>
      </c>
      <c r="E1046">
        <v>0</v>
      </c>
    </row>
    <row r="1047" spans="1:5">
      <c r="A1047" t="s">
        <v>2328</v>
      </c>
      <c r="B1047">
        <v>0</v>
      </c>
      <c r="C1047">
        <v>0</v>
      </c>
      <c r="D1047">
        <v>0</v>
      </c>
      <c r="E1047">
        <v>0</v>
      </c>
    </row>
    <row r="1048" spans="1:5">
      <c r="A1048" t="s">
        <v>2329</v>
      </c>
      <c r="B1048">
        <v>0</v>
      </c>
      <c r="C1048">
        <v>0</v>
      </c>
      <c r="D1048">
        <v>0</v>
      </c>
      <c r="E1048">
        <v>0</v>
      </c>
    </row>
    <row r="1049" spans="1:5">
      <c r="A1049" t="s">
        <v>2330</v>
      </c>
      <c r="B1049">
        <v>0</v>
      </c>
      <c r="C1049">
        <v>0</v>
      </c>
      <c r="D1049">
        <v>0</v>
      </c>
      <c r="E1049">
        <v>0</v>
      </c>
    </row>
    <row r="1050" spans="1:5">
      <c r="A1050" t="s">
        <v>2331</v>
      </c>
      <c r="B1050">
        <v>0</v>
      </c>
      <c r="C1050">
        <v>0</v>
      </c>
      <c r="D1050">
        <v>0</v>
      </c>
      <c r="E1050">
        <v>0</v>
      </c>
    </row>
    <row r="1051" spans="1:5">
      <c r="A1051" t="s">
        <v>2332</v>
      </c>
      <c r="B1051">
        <v>0</v>
      </c>
      <c r="C1051">
        <v>0</v>
      </c>
      <c r="D1051">
        <v>0</v>
      </c>
      <c r="E1051">
        <v>0</v>
      </c>
    </row>
    <row r="1052" spans="1:5">
      <c r="A1052" t="s">
        <v>2333</v>
      </c>
      <c r="B1052">
        <v>0</v>
      </c>
      <c r="C1052">
        <v>0</v>
      </c>
      <c r="D1052">
        <v>0</v>
      </c>
      <c r="E1052">
        <v>0</v>
      </c>
    </row>
    <row r="1053" spans="1:5">
      <c r="A1053" t="s">
        <v>2334</v>
      </c>
      <c r="B1053">
        <v>0</v>
      </c>
      <c r="C1053">
        <v>0</v>
      </c>
      <c r="D1053">
        <v>0</v>
      </c>
      <c r="E1053">
        <v>0</v>
      </c>
    </row>
    <row r="1054" spans="1:5">
      <c r="A1054" t="s">
        <v>2335</v>
      </c>
      <c r="B1054">
        <v>0</v>
      </c>
      <c r="C1054">
        <v>0</v>
      </c>
      <c r="D1054">
        <v>0</v>
      </c>
      <c r="E1054">
        <v>0</v>
      </c>
    </row>
    <row r="1055" spans="1:5">
      <c r="A1055" t="s">
        <v>2336</v>
      </c>
      <c r="B1055">
        <v>0</v>
      </c>
      <c r="C1055">
        <v>0</v>
      </c>
      <c r="D1055">
        <v>0</v>
      </c>
      <c r="E1055">
        <v>0</v>
      </c>
    </row>
    <row r="1056" spans="1:5">
      <c r="A1056" t="s">
        <v>2337</v>
      </c>
      <c r="B1056">
        <v>0</v>
      </c>
      <c r="C1056">
        <v>0</v>
      </c>
      <c r="D1056">
        <v>0</v>
      </c>
      <c r="E1056">
        <v>0</v>
      </c>
    </row>
    <row r="1057" spans="1:5">
      <c r="A1057" t="s">
        <v>2338</v>
      </c>
      <c r="B1057">
        <v>0</v>
      </c>
      <c r="C1057">
        <v>0</v>
      </c>
      <c r="D1057">
        <v>0</v>
      </c>
      <c r="E1057">
        <v>0</v>
      </c>
    </row>
    <row r="1058" spans="1:5">
      <c r="A1058" t="s">
        <v>2339</v>
      </c>
      <c r="B1058">
        <v>0</v>
      </c>
      <c r="C1058">
        <v>0</v>
      </c>
      <c r="D1058">
        <v>0</v>
      </c>
      <c r="E1058">
        <v>0</v>
      </c>
    </row>
    <row r="1059" spans="1:5">
      <c r="A1059" t="s">
        <v>2340</v>
      </c>
      <c r="B1059">
        <v>0</v>
      </c>
      <c r="C1059">
        <v>0</v>
      </c>
      <c r="D1059">
        <v>0</v>
      </c>
      <c r="E1059">
        <v>0</v>
      </c>
    </row>
    <row r="1060" spans="1:5">
      <c r="A1060" t="s">
        <v>2341</v>
      </c>
      <c r="B1060">
        <v>0</v>
      </c>
      <c r="C1060">
        <v>0</v>
      </c>
      <c r="D1060">
        <v>0</v>
      </c>
      <c r="E1060">
        <v>0</v>
      </c>
    </row>
    <row r="1061" spans="1:5">
      <c r="A1061" t="s">
        <v>2342</v>
      </c>
      <c r="B1061">
        <v>0</v>
      </c>
      <c r="C1061">
        <v>0</v>
      </c>
      <c r="D1061">
        <v>0</v>
      </c>
      <c r="E1061">
        <v>0</v>
      </c>
    </row>
    <row r="1062" spans="1:5">
      <c r="A1062" t="s">
        <v>2343</v>
      </c>
      <c r="B1062">
        <v>0</v>
      </c>
      <c r="C1062">
        <v>0</v>
      </c>
      <c r="D1062">
        <v>0</v>
      </c>
      <c r="E1062">
        <v>0</v>
      </c>
    </row>
    <row r="1063" spans="1:5">
      <c r="A1063" t="s">
        <v>2344</v>
      </c>
      <c r="B1063">
        <v>0</v>
      </c>
      <c r="C1063">
        <v>0</v>
      </c>
      <c r="D1063">
        <v>0</v>
      </c>
      <c r="E1063">
        <v>0</v>
      </c>
    </row>
    <row r="1064" spans="1:5">
      <c r="A1064" t="s">
        <v>2345</v>
      </c>
      <c r="B1064">
        <v>0</v>
      </c>
      <c r="C1064">
        <v>0</v>
      </c>
      <c r="D1064">
        <v>0</v>
      </c>
      <c r="E1064">
        <v>0</v>
      </c>
    </row>
    <row r="1065" spans="1:5">
      <c r="A1065" t="s">
        <v>2346</v>
      </c>
      <c r="B1065">
        <v>0</v>
      </c>
      <c r="C1065">
        <v>0</v>
      </c>
      <c r="D1065">
        <v>0</v>
      </c>
      <c r="E1065">
        <v>0</v>
      </c>
    </row>
    <row r="1066" spans="1:5">
      <c r="A1066" t="s">
        <v>52</v>
      </c>
      <c r="B1066">
        <v>0</v>
      </c>
      <c r="C1066">
        <v>0</v>
      </c>
      <c r="D1066">
        <v>0</v>
      </c>
      <c r="E1066">
        <v>0</v>
      </c>
    </row>
    <row r="1067" spans="1:5">
      <c r="A1067" t="s">
        <v>49</v>
      </c>
      <c r="B1067" t="str">
        <f>"NORMAL"</f>
        <v>NORMAL</v>
      </c>
      <c r="C1067" t="str">
        <f>"NORMAL"</f>
        <v>NORMAL</v>
      </c>
      <c r="D1067" t="str">
        <f>"NORMAL"</f>
        <v>NORMAL</v>
      </c>
      <c r="E1067" t="str">
        <f>"NORMAL"</f>
        <v>NORMAL</v>
      </c>
    </row>
    <row r="1068" spans="1:5">
      <c r="A1068" t="s">
        <v>1506</v>
      </c>
      <c r="B1068">
        <v>0</v>
      </c>
      <c r="C1068">
        <v>0</v>
      </c>
      <c r="D1068">
        <v>0</v>
      </c>
      <c r="E1068">
        <v>0</v>
      </c>
    </row>
    <row r="1070" spans="1:5">
      <c r="B1070" t="s">
        <v>2347</v>
      </c>
      <c r="C1070">
        <v>45</v>
      </c>
      <c r="D1070">
        <v>4</v>
      </c>
      <c r="E1070">
        <v>1</v>
      </c>
    </row>
    <row r="1071" spans="1:5">
      <c r="B1071" t="s">
        <v>2301</v>
      </c>
      <c r="C1071" t="s">
        <v>2302</v>
      </c>
      <c r="D1071" t="s">
        <v>2303</v>
      </c>
      <c r="E1071" t="s">
        <v>2304</v>
      </c>
    </row>
    <row r="1072" spans="1:5">
      <c r="A1072" t="s">
        <v>2305</v>
      </c>
      <c r="B1072">
        <v>0</v>
      </c>
      <c r="C1072">
        <v>0</v>
      </c>
      <c r="D1072">
        <v>0</v>
      </c>
      <c r="E1072">
        <v>0</v>
      </c>
    </row>
    <row r="1073" spans="1:5">
      <c r="A1073" t="s">
        <v>2306</v>
      </c>
      <c r="B1073">
        <v>0</v>
      </c>
      <c r="C1073">
        <v>0</v>
      </c>
      <c r="D1073">
        <v>0</v>
      </c>
      <c r="E1073">
        <v>0</v>
      </c>
    </row>
    <row r="1074" spans="1:5">
      <c r="A1074" t="s">
        <v>2307</v>
      </c>
      <c r="B1074">
        <v>0</v>
      </c>
      <c r="C1074">
        <v>0</v>
      </c>
      <c r="D1074">
        <v>0</v>
      </c>
      <c r="E1074">
        <v>0</v>
      </c>
    </row>
    <row r="1075" spans="1:5">
      <c r="A1075" t="s">
        <v>2308</v>
      </c>
      <c r="B1075">
        <v>0</v>
      </c>
      <c r="C1075">
        <v>0</v>
      </c>
      <c r="D1075">
        <v>0</v>
      </c>
      <c r="E1075">
        <v>0</v>
      </c>
    </row>
    <row r="1076" spans="1:5">
      <c r="A1076" t="s">
        <v>2309</v>
      </c>
      <c r="B1076">
        <v>0</v>
      </c>
      <c r="C1076">
        <v>0</v>
      </c>
      <c r="D1076">
        <v>0</v>
      </c>
      <c r="E1076">
        <v>0</v>
      </c>
    </row>
    <row r="1077" spans="1:5">
      <c r="A1077" t="s">
        <v>2310</v>
      </c>
      <c r="B1077">
        <v>0</v>
      </c>
      <c r="C1077">
        <v>0</v>
      </c>
      <c r="D1077">
        <v>0</v>
      </c>
      <c r="E1077">
        <v>0</v>
      </c>
    </row>
    <row r="1078" spans="1:5">
      <c r="A1078" t="s">
        <v>2311</v>
      </c>
      <c r="B1078">
        <v>0</v>
      </c>
      <c r="C1078">
        <v>0</v>
      </c>
      <c r="D1078">
        <v>0</v>
      </c>
      <c r="E1078">
        <v>0</v>
      </c>
    </row>
    <row r="1079" spans="1:5">
      <c r="A1079" t="s">
        <v>2312</v>
      </c>
      <c r="B1079">
        <v>0</v>
      </c>
      <c r="C1079">
        <v>0</v>
      </c>
      <c r="D1079">
        <v>0</v>
      </c>
      <c r="E1079">
        <v>0</v>
      </c>
    </row>
    <row r="1080" spans="1:5">
      <c r="A1080" t="s">
        <v>2313</v>
      </c>
      <c r="B1080">
        <v>0</v>
      </c>
      <c r="C1080">
        <v>0</v>
      </c>
      <c r="D1080">
        <v>0</v>
      </c>
      <c r="E1080">
        <v>0</v>
      </c>
    </row>
    <row r="1081" spans="1:5">
      <c r="A1081" t="s">
        <v>2314</v>
      </c>
      <c r="B1081">
        <v>0</v>
      </c>
      <c r="C1081">
        <v>0</v>
      </c>
      <c r="D1081">
        <v>0</v>
      </c>
      <c r="E1081">
        <v>0</v>
      </c>
    </row>
    <row r="1082" spans="1:5">
      <c r="A1082" t="s">
        <v>2315</v>
      </c>
      <c r="B1082">
        <v>0</v>
      </c>
      <c r="C1082">
        <v>0</v>
      </c>
      <c r="D1082">
        <v>0</v>
      </c>
      <c r="E1082">
        <v>0</v>
      </c>
    </row>
    <row r="1083" spans="1:5">
      <c r="A1083" t="s">
        <v>2316</v>
      </c>
      <c r="B1083">
        <v>0</v>
      </c>
      <c r="C1083">
        <v>0</v>
      </c>
      <c r="D1083">
        <v>0</v>
      </c>
      <c r="E1083">
        <v>0</v>
      </c>
    </row>
    <row r="1084" spans="1:5">
      <c r="A1084" t="s">
        <v>2317</v>
      </c>
      <c r="B1084">
        <v>0</v>
      </c>
      <c r="C1084">
        <v>0</v>
      </c>
      <c r="D1084">
        <v>0</v>
      </c>
      <c r="E1084">
        <v>0</v>
      </c>
    </row>
    <row r="1085" spans="1:5">
      <c r="A1085" t="s">
        <v>2318</v>
      </c>
      <c r="B1085">
        <v>0</v>
      </c>
      <c r="C1085">
        <v>0</v>
      </c>
      <c r="D1085">
        <v>0</v>
      </c>
      <c r="E1085">
        <v>0</v>
      </c>
    </row>
    <row r="1086" spans="1:5">
      <c r="A1086" t="s">
        <v>2319</v>
      </c>
      <c r="B1086">
        <v>0</v>
      </c>
      <c r="C1086">
        <v>0</v>
      </c>
      <c r="D1086">
        <v>0</v>
      </c>
      <c r="E1086">
        <v>0</v>
      </c>
    </row>
    <row r="1087" spans="1:5">
      <c r="A1087" t="s">
        <v>2320</v>
      </c>
      <c r="B1087">
        <v>0</v>
      </c>
      <c r="C1087">
        <v>0</v>
      </c>
      <c r="D1087">
        <v>0</v>
      </c>
      <c r="E1087">
        <v>0</v>
      </c>
    </row>
    <row r="1088" spans="1:5">
      <c r="A1088" t="s">
        <v>2321</v>
      </c>
      <c r="B1088">
        <v>0</v>
      </c>
      <c r="C1088">
        <v>0</v>
      </c>
      <c r="D1088">
        <v>0</v>
      </c>
      <c r="E1088">
        <v>0</v>
      </c>
    </row>
    <row r="1089" spans="1:5">
      <c r="A1089" t="s">
        <v>2322</v>
      </c>
      <c r="B1089">
        <v>0</v>
      </c>
      <c r="C1089">
        <v>0</v>
      </c>
      <c r="D1089">
        <v>0</v>
      </c>
      <c r="E1089">
        <v>0</v>
      </c>
    </row>
    <row r="1090" spans="1:5">
      <c r="A1090" t="s">
        <v>2323</v>
      </c>
      <c r="B1090">
        <v>0</v>
      </c>
      <c r="C1090">
        <v>0</v>
      </c>
      <c r="D1090">
        <v>0</v>
      </c>
      <c r="E1090">
        <v>0</v>
      </c>
    </row>
    <row r="1091" spans="1:5">
      <c r="A1091" t="s">
        <v>2324</v>
      </c>
      <c r="B1091">
        <v>0</v>
      </c>
      <c r="C1091">
        <v>0</v>
      </c>
      <c r="D1091">
        <v>0</v>
      </c>
      <c r="E1091">
        <v>0</v>
      </c>
    </row>
    <row r="1092" spans="1:5">
      <c r="A1092" t="s">
        <v>2325</v>
      </c>
      <c r="B1092">
        <v>0</v>
      </c>
      <c r="C1092">
        <v>0</v>
      </c>
      <c r="D1092">
        <v>0</v>
      </c>
      <c r="E1092">
        <v>0</v>
      </c>
    </row>
    <row r="1093" spans="1:5">
      <c r="A1093" t="s">
        <v>2326</v>
      </c>
      <c r="B1093">
        <v>0</v>
      </c>
      <c r="C1093">
        <v>0</v>
      </c>
      <c r="D1093">
        <v>0</v>
      </c>
      <c r="E1093">
        <v>0</v>
      </c>
    </row>
    <row r="1094" spans="1:5">
      <c r="A1094" t="s">
        <v>2327</v>
      </c>
      <c r="B1094">
        <v>0</v>
      </c>
      <c r="C1094">
        <v>0</v>
      </c>
      <c r="D1094">
        <v>0</v>
      </c>
      <c r="E1094">
        <v>0</v>
      </c>
    </row>
    <row r="1095" spans="1:5">
      <c r="A1095" t="s">
        <v>2328</v>
      </c>
      <c r="B1095">
        <v>0</v>
      </c>
      <c r="C1095">
        <v>0</v>
      </c>
      <c r="D1095">
        <v>0</v>
      </c>
      <c r="E1095">
        <v>0</v>
      </c>
    </row>
    <row r="1096" spans="1:5">
      <c r="A1096" t="s">
        <v>2329</v>
      </c>
      <c r="B1096">
        <v>0</v>
      </c>
      <c r="C1096">
        <v>0</v>
      </c>
      <c r="D1096">
        <v>0</v>
      </c>
      <c r="E1096">
        <v>0</v>
      </c>
    </row>
    <row r="1097" spans="1:5">
      <c r="A1097" t="s">
        <v>2330</v>
      </c>
      <c r="B1097">
        <v>0</v>
      </c>
      <c r="C1097">
        <v>0</v>
      </c>
      <c r="D1097">
        <v>0</v>
      </c>
      <c r="E1097">
        <v>0</v>
      </c>
    </row>
    <row r="1098" spans="1:5">
      <c r="A1098" t="s">
        <v>2331</v>
      </c>
      <c r="B1098">
        <v>0</v>
      </c>
      <c r="C1098">
        <v>0</v>
      </c>
      <c r="D1098">
        <v>0</v>
      </c>
      <c r="E1098">
        <v>0</v>
      </c>
    </row>
    <row r="1099" spans="1:5">
      <c r="A1099" t="s">
        <v>2332</v>
      </c>
      <c r="B1099">
        <v>0</v>
      </c>
      <c r="C1099">
        <v>0</v>
      </c>
      <c r="D1099">
        <v>0</v>
      </c>
      <c r="E1099">
        <v>0</v>
      </c>
    </row>
    <row r="1100" spans="1:5">
      <c r="A1100" t="s">
        <v>2333</v>
      </c>
      <c r="B1100">
        <v>0</v>
      </c>
      <c r="C1100">
        <v>0</v>
      </c>
      <c r="D1100">
        <v>0</v>
      </c>
      <c r="E1100">
        <v>0</v>
      </c>
    </row>
    <row r="1101" spans="1:5">
      <c r="A1101" t="s">
        <v>2334</v>
      </c>
      <c r="B1101">
        <v>0</v>
      </c>
      <c r="C1101">
        <v>0</v>
      </c>
      <c r="D1101">
        <v>0</v>
      </c>
      <c r="E1101">
        <v>0</v>
      </c>
    </row>
    <row r="1102" spans="1:5">
      <c r="A1102" t="s">
        <v>2335</v>
      </c>
      <c r="B1102">
        <v>0</v>
      </c>
      <c r="C1102">
        <v>0</v>
      </c>
      <c r="D1102">
        <v>0</v>
      </c>
      <c r="E1102">
        <v>0</v>
      </c>
    </row>
    <row r="1103" spans="1:5">
      <c r="A1103" t="s">
        <v>2336</v>
      </c>
      <c r="B1103">
        <v>0</v>
      </c>
      <c r="C1103">
        <v>0</v>
      </c>
      <c r="D1103">
        <v>0</v>
      </c>
      <c r="E1103">
        <v>0</v>
      </c>
    </row>
    <row r="1104" spans="1:5">
      <c r="A1104" t="s">
        <v>2337</v>
      </c>
      <c r="B1104">
        <v>0</v>
      </c>
      <c r="C1104">
        <v>0</v>
      </c>
      <c r="D1104">
        <v>0</v>
      </c>
      <c r="E1104">
        <v>0</v>
      </c>
    </row>
    <row r="1105" spans="1:5">
      <c r="A1105" t="s">
        <v>2338</v>
      </c>
      <c r="B1105">
        <v>0</v>
      </c>
      <c r="C1105">
        <v>0</v>
      </c>
      <c r="D1105">
        <v>0</v>
      </c>
      <c r="E1105">
        <v>0</v>
      </c>
    </row>
    <row r="1106" spans="1:5">
      <c r="A1106" t="s">
        <v>2339</v>
      </c>
      <c r="B1106">
        <v>0</v>
      </c>
      <c r="C1106">
        <v>0</v>
      </c>
      <c r="D1106">
        <v>0</v>
      </c>
      <c r="E1106">
        <v>0</v>
      </c>
    </row>
    <row r="1107" spans="1:5">
      <c r="A1107" t="s">
        <v>2340</v>
      </c>
      <c r="B1107">
        <v>0</v>
      </c>
      <c r="C1107">
        <v>0</v>
      </c>
      <c r="D1107">
        <v>0</v>
      </c>
      <c r="E1107">
        <v>0</v>
      </c>
    </row>
    <row r="1108" spans="1:5">
      <c r="A1108" t="s">
        <v>2341</v>
      </c>
      <c r="B1108">
        <v>0</v>
      </c>
      <c r="C1108">
        <v>0</v>
      </c>
      <c r="D1108">
        <v>0</v>
      </c>
      <c r="E1108">
        <v>0</v>
      </c>
    </row>
    <row r="1109" spans="1:5">
      <c r="A1109" t="s">
        <v>2342</v>
      </c>
      <c r="B1109">
        <v>0</v>
      </c>
      <c r="C1109">
        <v>0</v>
      </c>
      <c r="D1109">
        <v>0</v>
      </c>
      <c r="E1109">
        <v>0</v>
      </c>
    </row>
    <row r="1110" spans="1:5">
      <c r="A1110" t="s">
        <v>2343</v>
      </c>
      <c r="B1110">
        <v>0</v>
      </c>
      <c r="C1110">
        <v>0</v>
      </c>
      <c r="D1110">
        <v>0</v>
      </c>
      <c r="E1110">
        <v>0</v>
      </c>
    </row>
    <row r="1111" spans="1:5">
      <c r="A1111" t="s">
        <v>2344</v>
      </c>
      <c r="B1111">
        <v>0</v>
      </c>
      <c r="C1111">
        <v>0</v>
      </c>
      <c r="D1111">
        <v>0</v>
      </c>
      <c r="E1111">
        <v>0</v>
      </c>
    </row>
    <row r="1112" spans="1:5">
      <c r="A1112" t="s">
        <v>2345</v>
      </c>
      <c r="B1112">
        <v>0</v>
      </c>
      <c r="C1112">
        <v>0</v>
      </c>
      <c r="D1112">
        <v>0</v>
      </c>
      <c r="E1112">
        <v>0</v>
      </c>
    </row>
    <row r="1113" spans="1:5">
      <c r="A1113" t="s">
        <v>2346</v>
      </c>
      <c r="B1113">
        <v>0</v>
      </c>
      <c r="C1113">
        <v>0</v>
      </c>
      <c r="D1113">
        <v>0</v>
      </c>
      <c r="E1113">
        <v>0</v>
      </c>
    </row>
    <row r="1114" spans="1:5">
      <c r="A1114" t="s">
        <v>52</v>
      </c>
      <c r="B1114">
        <v>0</v>
      </c>
      <c r="C1114">
        <v>0</v>
      </c>
      <c r="D1114">
        <v>0</v>
      </c>
      <c r="E1114">
        <v>0</v>
      </c>
    </row>
    <row r="1115" spans="1:5">
      <c r="A1115" t="s">
        <v>49</v>
      </c>
      <c r="B1115" t="str">
        <f>"INDPED"</f>
        <v>INDPED</v>
      </c>
      <c r="C1115" t="str">
        <f>"INDPED"</f>
        <v>INDPED</v>
      </c>
      <c r="D1115" t="str">
        <f>"INDPED"</f>
        <v>INDPED</v>
      </c>
      <c r="E1115" t="str">
        <f>"INDPED"</f>
        <v>INDPED</v>
      </c>
    </row>
    <row r="1116" spans="1:5">
      <c r="A1116" t="s">
        <v>1506</v>
      </c>
      <c r="B1116">
        <v>0</v>
      </c>
      <c r="C1116">
        <v>0</v>
      </c>
      <c r="D1116">
        <v>0</v>
      </c>
      <c r="E1116">
        <v>0</v>
      </c>
    </row>
    <row r="1118" spans="1:5">
      <c r="B1118" t="s">
        <v>2348</v>
      </c>
      <c r="C1118">
        <v>45</v>
      </c>
      <c r="D1118">
        <v>4</v>
      </c>
      <c r="E1118">
        <v>1</v>
      </c>
    </row>
    <row r="1119" spans="1:5">
      <c r="B1119" t="s">
        <v>2301</v>
      </c>
      <c r="C1119" t="s">
        <v>2302</v>
      </c>
      <c r="D1119" t="s">
        <v>2303</v>
      </c>
      <c r="E1119" t="s">
        <v>2304</v>
      </c>
    </row>
    <row r="1120" spans="1:5">
      <c r="A1120" t="s">
        <v>2305</v>
      </c>
      <c r="B1120">
        <v>0</v>
      </c>
      <c r="C1120">
        <v>0</v>
      </c>
      <c r="D1120">
        <v>0</v>
      </c>
      <c r="E1120">
        <v>0</v>
      </c>
    </row>
    <row r="1121" spans="1:5">
      <c r="A1121" t="s">
        <v>2306</v>
      </c>
      <c r="B1121">
        <v>0</v>
      </c>
      <c r="C1121">
        <v>0</v>
      </c>
      <c r="D1121">
        <v>0</v>
      </c>
      <c r="E1121">
        <v>0</v>
      </c>
    </row>
    <row r="1122" spans="1:5">
      <c r="A1122" t="s">
        <v>2307</v>
      </c>
      <c r="B1122">
        <v>0</v>
      </c>
      <c r="C1122">
        <v>0</v>
      </c>
      <c r="D1122">
        <v>0</v>
      </c>
      <c r="E1122">
        <v>0</v>
      </c>
    </row>
    <row r="1123" spans="1:5">
      <c r="A1123" t="s">
        <v>2308</v>
      </c>
      <c r="B1123">
        <v>0</v>
      </c>
      <c r="C1123">
        <v>0</v>
      </c>
      <c r="D1123">
        <v>0</v>
      </c>
      <c r="E1123">
        <v>0</v>
      </c>
    </row>
    <row r="1124" spans="1:5">
      <c r="A1124" t="s">
        <v>2309</v>
      </c>
      <c r="B1124">
        <v>0</v>
      </c>
      <c r="C1124">
        <v>0</v>
      </c>
      <c r="D1124">
        <v>0</v>
      </c>
      <c r="E1124">
        <v>0</v>
      </c>
    </row>
    <row r="1125" spans="1:5">
      <c r="A1125" t="s">
        <v>2310</v>
      </c>
      <c r="B1125">
        <v>0</v>
      </c>
      <c r="C1125">
        <v>0</v>
      </c>
      <c r="D1125">
        <v>0</v>
      </c>
      <c r="E1125">
        <v>0</v>
      </c>
    </row>
    <row r="1126" spans="1:5">
      <c r="A1126" t="s">
        <v>2311</v>
      </c>
      <c r="B1126">
        <v>0</v>
      </c>
      <c r="C1126">
        <v>0</v>
      </c>
      <c r="D1126">
        <v>0</v>
      </c>
      <c r="E1126">
        <v>0</v>
      </c>
    </row>
    <row r="1127" spans="1:5">
      <c r="A1127" t="s">
        <v>2312</v>
      </c>
      <c r="B1127">
        <v>0</v>
      </c>
      <c r="C1127">
        <v>0</v>
      </c>
      <c r="D1127">
        <v>0</v>
      </c>
      <c r="E1127">
        <v>0</v>
      </c>
    </row>
    <row r="1128" spans="1:5">
      <c r="A1128" t="s">
        <v>2313</v>
      </c>
      <c r="B1128">
        <v>0</v>
      </c>
      <c r="C1128">
        <v>0</v>
      </c>
      <c r="D1128">
        <v>0</v>
      </c>
      <c r="E1128">
        <v>0</v>
      </c>
    </row>
    <row r="1129" spans="1:5">
      <c r="A1129" t="s">
        <v>2314</v>
      </c>
      <c r="B1129">
        <v>0</v>
      </c>
      <c r="C1129">
        <v>0</v>
      </c>
      <c r="D1129">
        <v>0</v>
      </c>
      <c r="E1129">
        <v>0</v>
      </c>
    </row>
    <row r="1130" spans="1:5">
      <c r="A1130" t="s">
        <v>2315</v>
      </c>
      <c r="B1130">
        <v>0</v>
      </c>
      <c r="C1130">
        <v>0</v>
      </c>
      <c r="D1130">
        <v>0</v>
      </c>
      <c r="E1130">
        <v>0</v>
      </c>
    </row>
    <row r="1131" spans="1:5">
      <c r="A1131" t="s">
        <v>2316</v>
      </c>
      <c r="B1131">
        <v>0</v>
      </c>
      <c r="C1131">
        <v>0</v>
      </c>
      <c r="D1131">
        <v>0</v>
      </c>
      <c r="E1131">
        <v>0</v>
      </c>
    </row>
    <row r="1132" spans="1:5">
      <c r="A1132" t="s">
        <v>2317</v>
      </c>
      <c r="B1132">
        <v>0</v>
      </c>
      <c r="C1132">
        <v>0</v>
      </c>
      <c r="D1132">
        <v>0</v>
      </c>
      <c r="E1132">
        <v>0</v>
      </c>
    </row>
    <row r="1133" spans="1:5">
      <c r="A1133" t="s">
        <v>2318</v>
      </c>
      <c r="B1133">
        <v>0</v>
      </c>
      <c r="C1133">
        <v>0</v>
      </c>
      <c r="D1133">
        <v>0</v>
      </c>
      <c r="E1133">
        <v>0</v>
      </c>
    </row>
    <row r="1134" spans="1:5">
      <c r="A1134" t="s">
        <v>2319</v>
      </c>
      <c r="B1134">
        <v>0</v>
      </c>
      <c r="C1134">
        <v>0</v>
      </c>
      <c r="D1134">
        <v>0</v>
      </c>
      <c r="E1134">
        <v>0</v>
      </c>
    </row>
    <row r="1135" spans="1:5">
      <c r="A1135" t="s">
        <v>2320</v>
      </c>
      <c r="B1135">
        <v>0</v>
      </c>
      <c r="C1135">
        <v>0</v>
      </c>
      <c r="D1135">
        <v>0</v>
      </c>
      <c r="E1135">
        <v>0</v>
      </c>
    </row>
    <row r="1136" spans="1:5">
      <c r="A1136" t="s">
        <v>2321</v>
      </c>
      <c r="B1136">
        <v>0</v>
      </c>
      <c r="C1136">
        <v>0</v>
      </c>
      <c r="D1136">
        <v>0</v>
      </c>
      <c r="E1136">
        <v>0</v>
      </c>
    </row>
    <row r="1137" spans="1:5">
      <c r="A1137" t="s">
        <v>2322</v>
      </c>
      <c r="B1137">
        <v>0</v>
      </c>
      <c r="C1137">
        <v>0</v>
      </c>
      <c r="D1137">
        <v>0</v>
      </c>
      <c r="E1137">
        <v>0</v>
      </c>
    </row>
    <row r="1138" spans="1:5">
      <c r="A1138" t="s">
        <v>2323</v>
      </c>
      <c r="B1138">
        <v>0</v>
      </c>
      <c r="C1138">
        <v>0</v>
      </c>
      <c r="D1138">
        <v>0</v>
      </c>
      <c r="E1138">
        <v>0</v>
      </c>
    </row>
    <row r="1139" spans="1:5">
      <c r="A1139" t="s">
        <v>2324</v>
      </c>
      <c r="B1139">
        <v>0</v>
      </c>
      <c r="C1139">
        <v>0</v>
      </c>
      <c r="D1139">
        <v>0</v>
      </c>
      <c r="E1139">
        <v>0</v>
      </c>
    </row>
    <row r="1140" spans="1:5">
      <c r="A1140" t="s">
        <v>2325</v>
      </c>
      <c r="B1140">
        <v>0</v>
      </c>
      <c r="C1140">
        <v>0</v>
      </c>
      <c r="D1140">
        <v>0</v>
      </c>
      <c r="E1140">
        <v>0</v>
      </c>
    </row>
    <row r="1141" spans="1:5">
      <c r="A1141" t="s">
        <v>2326</v>
      </c>
      <c r="B1141">
        <v>0</v>
      </c>
      <c r="C1141">
        <v>0</v>
      </c>
      <c r="D1141">
        <v>0</v>
      </c>
      <c r="E1141">
        <v>0</v>
      </c>
    </row>
    <row r="1142" spans="1:5">
      <c r="A1142" t="s">
        <v>2327</v>
      </c>
      <c r="B1142">
        <v>0</v>
      </c>
      <c r="C1142">
        <v>0</v>
      </c>
      <c r="D1142">
        <v>0</v>
      </c>
      <c r="E1142">
        <v>0</v>
      </c>
    </row>
    <row r="1143" spans="1:5">
      <c r="A1143" t="s">
        <v>2328</v>
      </c>
      <c r="B1143">
        <v>0</v>
      </c>
      <c r="C1143">
        <v>0</v>
      </c>
      <c r="D1143">
        <v>0</v>
      </c>
      <c r="E1143">
        <v>0</v>
      </c>
    </row>
    <row r="1144" spans="1:5">
      <c r="A1144" t="s">
        <v>2329</v>
      </c>
      <c r="B1144">
        <v>0</v>
      </c>
      <c r="C1144">
        <v>0</v>
      </c>
      <c r="D1144">
        <v>0</v>
      </c>
      <c r="E1144">
        <v>0</v>
      </c>
    </row>
    <row r="1145" spans="1:5">
      <c r="A1145" t="s">
        <v>2330</v>
      </c>
      <c r="B1145">
        <v>0</v>
      </c>
      <c r="C1145">
        <v>0</v>
      </c>
      <c r="D1145">
        <v>0</v>
      </c>
      <c r="E1145">
        <v>0</v>
      </c>
    </row>
    <row r="1146" spans="1:5">
      <c r="A1146" t="s">
        <v>2331</v>
      </c>
      <c r="B1146">
        <v>0</v>
      </c>
      <c r="C1146">
        <v>0</v>
      </c>
      <c r="D1146">
        <v>0</v>
      </c>
      <c r="E1146">
        <v>0</v>
      </c>
    </row>
    <row r="1147" spans="1:5">
      <c r="A1147" t="s">
        <v>2332</v>
      </c>
      <c r="B1147">
        <v>0</v>
      </c>
      <c r="C1147">
        <v>0</v>
      </c>
      <c r="D1147">
        <v>0</v>
      </c>
      <c r="E1147">
        <v>0</v>
      </c>
    </row>
    <row r="1148" spans="1:5">
      <c r="A1148" t="s">
        <v>2333</v>
      </c>
      <c r="B1148">
        <v>0</v>
      </c>
      <c r="C1148">
        <v>0</v>
      </c>
      <c r="D1148">
        <v>0</v>
      </c>
      <c r="E1148">
        <v>0</v>
      </c>
    </row>
    <row r="1149" spans="1:5">
      <c r="A1149" t="s">
        <v>2334</v>
      </c>
      <c r="B1149">
        <v>0</v>
      </c>
      <c r="C1149">
        <v>0</v>
      </c>
      <c r="D1149">
        <v>0</v>
      </c>
      <c r="E1149">
        <v>0</v>
      </c>
    </row>
    <row r="1150" spans="1:5">
      <c r="A1150" t="s">
        <v>2335</v>
      </c>
      <c r="B1150">
        <v>0</v>
      </c>
      <c r="C1150">
        <v>0</v>
      </c>
      <c r="D1150">
        <v>0</v>
      </c>
      <c r="E1150">
        <v>0</v>
      </c>
    </row>
    <row r="1151" spans="1:5">
      <c r="A1151" t="s">
        <v>2336</v>
      </c>
      <c r="B1151">
        <v>0</v>
      </c>
      <c r="C1151">
        <v>0</v>
      </c>
      <c r="D1151">
        <v>0</v>
      </c>
      <c r="E1151">
        <v>0</v>
      </c>
    </row>
    <row r="1152" spans="1:5">
      <c r="A1152" t="s">
        <v>2337</v>
      </c>
      <c r="B1152">
        <v>0</v>
      </c>
      <c r="C1152">
        <v>0</v>
      </c>
      <c r="D1152">
        <v>0</v>
      </c>
      <c r="E1152">
        <v>0</v>
      </c>
    </row>
    <row r="1153" spans="1:5">
      <c r="A1153" t="s">
        <v>2338</v>
      </c>
      <c r="B1153">
        <v>0</v>
      </c>
      <c r="C1153">
        <v>0</v>
      </c>
      <c r="D1153">
        <v>0</v>
      </c>
      <c r="E1153">
        <v>0</v>
      </c>
    </row>
    <row r="1154" spans="1:5">
      <c r="A1154" t="s">
        <v>2339</v>
      </c>
      <c r="B1154">
        <v>0</v>
      </c>
      <c r="C1154">
        <v>0</v>
      </c>
      <c r="D1154">
        <v>0</v>
      </c>
      <c r="E1154">
        <v>0</v>
      </c>
    </row>
    <row r="1155" spans="1:5">
      <c r="A1155" t="s">
        <v>2340</v>
      </c>
      <c r="B1155">
        <v>0</v>
      </c>
      <c r="C1155">
        <v>0</v>
      </c>
      <c r="D1155">
        <v>0</v>
      </c>
      <c r="E1155">
        <v>0</v>
      </c>
    </row>
    <row r="1156" spans="1:5">
      <c r="A1156" t="s">
        <v>2341</v>
      </c>
      <c r="B1156">
        <v>0</v>
      </c>
      <c r="C1156">
        <v>0</v>
      </c>
      <c r="D1156">
        <v>0</v>
      </c>
      <c r="E1156">
        <v>0</v>
      </c>
    </row>
    <row r="1157" spans="1:5">
      <c r="A1157" t="s">
        <v>2342</v>
      </c>
      <c r="B1157">
        <v>0</v>
      </c>
      <c r="C1157">
        <v>0</v>
      </c>
      <c r="D1157">
        <v>0</v>
      </c>
      <c r="E1157">
        <v>0</v>
      </c>
    </row>
    <row r="1158" spans="1:5">
      <c r="A1158" t="s">
        <v>2343</v>
      </c>
      <c r="B1158">
        <v>0</v>
      </c>
      <c r="C1158">
        <v>0</v>
      </c>
      <c r="D1158">
        <v>0</v>
      </c>
      <c r="E1158">
        <v>0</v>
      </c>
    </row>
    <row r="1159" spans="1:5">
      <c r="A1159" t="s">
        <v>2344</v>
      </c>
      <c r="B1159">
        <v>0</v>
      </c>
      <c r="C1159">
        <v>0</v>
      </c>
      <c r="D1159">
        <v>0</v>
      </c>
      <c r="E1159">
        <v>0</v>
      </c>
    </row>
    <row r="1160" spans="1:5">
      <c r="A1160" t="s">
        <v>2345</v>
      </c>
      <c r="B1160">
        <v>0</v>
      </c>
      <c r="C1160">
        <v>0</v>
      </c>
      <c r="D1160">
        <v>0</v>
      </c>
      <c r="E1160">
        <v>0</v>
      </c>
    </row>
    <row r="1161" spans="1:5">
      <c r="A1161" t="s">
        <v>2346</v>
      </c>
      <c r="B1161">
        <v>0</v>
      </c>
      <c r="C1161">
        <v>0</v>
      </c>
      <c r="D1161">
        <v>0</v>
      </c>
      <c r="E1161">
        <v>0</v>
      </c>
    </row>
    <row r="1162" spans="1:5">
      <c r="A1162" t="s">
        <v>52</v>
      </c>
      <c r="B1162">
        <v>0</v>
      </c>
      <c r="C1162">
        <v>0</v>
      </c>
      <c r="D1162">
        <v>0</v>
      </c>
      <c r="E1162">
        <v>0</v>
      </c>
    </row>
    <row r="1163" spans="1:5">
      <c r="A1163" t="s">
        <v>49</v>
      </c>
      <c r="B1163" t="str">
        <f>"INDPED"</f>
        <v>INDPED</v>
      </c>
      <c r="C1163" t="str">
        <f>"INDPED"</f>
        <v>INDPED</v>
      </c>
      <c r="D1163" t="str">
        <f>"INDPED"</f>
        <v>INDPED</v>
      </c>
      <c r="E1163" t="str">
        <f>"INDPED"</f>
        <v>INDPED</v>
      </c>
    </row>
    <row r="1164" spans="1:5">
      <c r="A1164" t="s">
        <v>1506</v>
      </c>
      <c r="B1164">
        <v>0</v>
      </c>
      <c r="C1164">
        <v>0</v>
      </c>
      <c r="D1164">
        <v>0</v>
      </c>
      <c r="E1164">
        <v>0</v>
      </c>
    </row>
    <row r="1166" spans="1:5">
      <c r="B1166" t="s">
        <v>2349</v>
      </c>
      <c r="C1166">
        <v>4</v>
      </c>
      <c r="D1166">
        <v>1</v>
      </c>
      <c r="E1166">
        <v>1</v>
      </c>
    </row>
    <row r="1167" spans="1:5">
      <c r="B1167" t="s">
        <v>1508</v>
      </c>
    </row>
    <row r="1168" spans="1:5">
      <c r="A1168" t="s">
        <v>2350</v>
      </c>
      <c r="B1168" t="str">
        <f>"OFF"</f>
        <v>OFF</v>
      </c>
    </row>
    <row r="1169" spans="1:17">
      <c r="A1169" t="s">
        <v>2351</v>
      </c>
      <c r="B1169" t="str">
        <f>"Always"</f>
        <v>Always</v>
      </c>
    </row>
    <row r="1170" spans="1:17">
      <c r="A1170" t="s">
        <v>3</v>
      </c>
      <c r="B1170" t="str">
        <f>"OFF"</f>
        <v>OFF</v>
      </c>
    </row>
    <row r="1171" spans="1:17">
      <c r="A1171" t="s">
        <v>2352</v>
      </c>
      <c r="B1171" t="str">
        <f>"ON"</f>
        <v>ON</v>
      </c>
    </row>
    <row r="1173" spans="1:17">
      <c r="B1173" t="s">
        <v>2353</v>
      </c>
      <c r="C1173">
        <v>1</v>
      </c>
      <c r="D1173">
        <v>1</v>
      </c>
      <c r="E1173">
        <v>1</v>
      </c>
    </row>
    <row r="1174" spans="1:17">
      <c r="B1174" t="s">
        <v>1508</v>
      </c>
    </row>
    <row r="1175" spans="1:17">
      <c r="A1175" t="s">
        <v>2354</v>
      </c>
      <c r="B1175" t="str">
        <f>"OFF"</f>
        <v>OFF</v>
      </c>
    </row>
    <row r="1177" spans="1:17">
      <c r="B1177" t="s">
        <v>2355</v>
      </c>
      <c r="C1177">
        <v>20</v>
      </c>
      <c r="D1177">
        <v>16</v>
      </c>
      <c r="E1177">
        <v>1</v>
      </c>
    </row>
    <row r="1178" spans="1:17">
      <c r="B1178" t="s">
        <v>2301</v>
      </c>
      <c r="C1178" t="s">
        <v>2302</v>
      </c>
      <c r="D1178" t="s">
        <v>2303</v>
      </c>
      <c r="E1178" t="s">
        <v>2304</v>
      </c>
      <c r="F1178" t="s">
        <v>2356</v>
      </c>
      <c r="G1178" t="s">
        <v>2357</v>
      </c>
      <c r="H1178" t="s">
        <v>2358</v>
      </c>
      <c r="I1178" t="s">
        <v>2359</v>
      </c>
      <c r="J1178" t="s">
        <v>2360</v>
      </c>
      <c r="K1178" t="s">
        <v>2361</v>
      </c>
      <c r="L1178" t="s">
        <v>2362</v>
      </c>
      <c r="M1178" t="s">
        <v>2363</v>
      </c>
      <c r="N1178" t="s">
        <v>2364</v>
      </c>
      <c r="O1178" t="s">
        <v>2365</v>
      </c>
      <c r="P1178" t="s">
        <v>2366</v>
      </c>
      <c r="Q1178" t="s">
        <v>2367</v>
      </c>
    </row>
    <row r="1179" spans="1:17">
      <c r="A1179" t="s">
        <v>2329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</row>
    <row r="1180" spans="1:17">
      <c r="A1180" t="s">
        <v>2330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</row>
    <row r="1181" spans="1:17">
      <c r="A1181" t="s">
        <v>2331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</row>
    <row r="1182" spans="1:17">
      <c r="A1182" t="s">
        <v>2332</v>
      </c>
      <c r="B1182">
        <v>0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</row>
    <row r="1183" spans="1:17">
      <c r="A1183" t="s">
        <v>2333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</row>
    <row r="1184" spans="1:17">
      <c r="A1184" t="s">
        <v>2334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</row>
    <row r="1185" spans="1:17">
      <c r="A1185" t="s">
        <v>2335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</row>
    <row r="1186" spans="1:17">
      <c r="A1186" t="s">
        <v>2336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</row>
    <row r="1187" spans="1:17">
      <c r="A1187" t="s">
        <v>2337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</row>
    <row r="1188" spans="1:17">
      <c r="A1188" t="s">
        <v>2338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</row>
    <row r="1189" spans="1:17">
      <c r="A1189" t="s">
        <v>2339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</row>
    <row r="1190" spans="1:17">
      <c r="A1190" t="s">
        <v>2340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</row>
    <row r="1191" spans="1:17">
      <c r="A1191" t="s">
        <v>2341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</row>
    <row r="1192" spans="1:17">
      <c r="A1192" t="s">
        <v>2342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</row>
    <row r="1193" spans="1:17">
      <c r="A1193" t="s">
        <v>2343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</row>
    <row r="1194" spans="1:17">
      <c r="A1194" t="s">
        <v>2344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</row>
    <row r="1195" spans="1:17">
      <c r="A1195" t="s">
        <v>2345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</row>
    <row r="1196" spans="1:17">
      <c r="A1196" t="s">
        <v>52</v>
      </c>
      <c r="B1196">
        <v>1</v>
      </c>
      <c r="C1196">
        <v>1</v>
      </c>
      <c r="D1196">
        <v>1</v>
      </c>
      <c r="E1196">
        <v>1</v>
      </c>
      <c r="F1196">
        <v>1</v>
      </c>
      <c r="G1196">
        <v>1</v>
      </c>
      <c r="H1196">
        <v>1</v>
      </c>
      <c r="I1196">
        <v>1</v>
      </c>
      <c r="J1196">
        <v>1</v>
      </c>
      <c r="K1196">
        <v>1</v>
      </c>
      <c r="L1196">
        <v>1</v>
      </c>
      <c r="M1196">
        <v>1</v>
      </c>
      <c r="N1196">
        <v>1</v>
      </c>
      <c r="O1196">
        <v>1</v>
      </c>
      <c r="P1196">
        <v>1</v>
      </c>
      <c r="Q1196">
        <v>1</v>
      </c>
    </row>
    <row r="1197" spans="1:17">
      <c r="A1197" t="s">
        <v>49</v>
      </c>
      <c r="B1197" t="str">
        <f t="shared" ref="B1197:Q1197" si="174">"NORMAL"</f>
        <v>NORMAL</v>
      </c>
      <c r="C1197" t="str">
        <f t="shared" si="174"/>
        <v>NORMAL</v>
      </c>
      <c r="D1197" t="str">
        <f t="shared" si="174"/>
        <v>NORMAL</v>
      </c>
      <c r="E1197" t="str">
        <f t="shared" si="174"/>
        <v>NORMAL</v>
      </c>
      <c r="F1197" t="str">
        <f t="shared" si="174"/>
        <v>NORMAL</v>
      </c>
      <c r="G1197" t="str">
        <f t="shared" si="174"/>
        <v>NORMAL</v>
      </c>
      <c r="H1197" t="str">
        <f t="shared" si="174"/>
        <v>NORMAL</v>
      </c>
      <c r="I1197" t="str">
        <f t="shared" si="174"/>
        <v>NORMAL</v>
      </c>
      <c r="J1197" t="str">
        <f t="shared" si="174"/>
        <v>NORMAL</v>
      </c>
      <c r="K1197" t="str">
        <f t="shared" si="174"/>
        <v>NORMAL</v>
      </c>
      <c r="L1197" t="str">
        <f t="shared" si="174"/>
        <v>NORMAL</v>
      </c>
      <c r="M1197" t="str">
        <f t="shared" si="174"/>
        <v>NORMAL</v>
      </c>
      <c r="N1197" t="str">
        <f t="shared" si="174"/>
        <v>NORMAL</v>
      </c>
      <c r="O1197" t="str">
        <f t="shared" si="174"/>
        <v>NORMAL</v>
      </c>
      <c r="P1197" t="str">
        <f t="shared" si="174"/>
        <v>NORMAL</v>
      </c>
      <c r="Q1197" t="str">
        <f t="shared" si="174"/>
        <v>NORMAL</v>
      </c>
    </row>
    <row r="1198" spans="1:17">
      <c r="A1198" t="s">
        <v>1506</v>
      </c>
      <c r="B1198">
        <v>3</v>
      </c>
      <c r="C1198">
        <v>3</v>
      </c>
      <c r="D1198">
        <v>3</v>
      </c>
      <c r="E1198">
        <v>3</v>
      </c>
      <c r="F1198">
        <v>3</v>
      </c>
      <c r="G1198">
        <v>3</v>
      </c>
      <c r="H1198">
        <v>3</v>
      </c>
      <c r="I1198">
        <v>3</v>
      </c>
      <c r="J1198">
        <v>3</v>
      </c>
      <c r="K1198">
        <v>3</v>
      </c>
      <c r="L1198">
        <v>3</v>
      </c>
      <c r="M1198">
        <v>3</v>
      </c>
      <c r="N1198">
        <v>3</v>
      </c>
      <c r="O1198">
        <v>3</v>
      </c>
      <c r="P1198">
        <v>3</v>
      </c>
      <c r="Q1198">
        <v>3</v>
      </c>
    </row>
    <row r="1200" spans="1:17">
      <c r="B1200" t="s">
        <v>2368</v>
      </c>
      <c r="C1200">
        <v>24</v>
      </c>
      <c r="D1200">
        <v>16</v>
      </c>
      <c r="E1200">
        <v>1</v>
      </c>
    </row>
    <row r="1201" spans="1:17">
      <c r="B1201" t="s">
        <v>2301</v>
      </c>
      <c r="C1201" t="s">
        <v>2302</v>
      </c>
      <c r="D1201" t="s">
        <v>2303</v>
      </c>
      <c r="E1201" t="s">
        <v>2304</v>
      </c>
      <c r="F1201" t="s">
        <v>2356</v>
      </c>
      <c r="G1201" t="s">
        <v>2357</v>
      </c>
      <c r="H1201" t="s">
        <v>2358</v>
      </c>
      <c r="I1201" t="s">
        <v>2359</v>
      </c>
      <c r="J1201" t="s">
        <v>2360</v>
      </c>
      <c r="K1201" t="s">
        <v>2361</v>
      </c>
      <c r="L1201" t="s">
        <v>2362</v>
      </c>
      <c r="M1201" t="s">
        <v>2363</v>
      </c>
      <c r="N1201" t="s">
        <v>2364</v>
      </c>
      <c r="O1201" t="s">
        <v>2365</v>
      </c>
      <c r="P1201" t="s">
        <v>2366</v>
      </c>
      <c r="Q1201" t="s">
        <v>2367</v>
      </c>
    </row>
    <row r="1202" spans="1:17">
      <c r="A1202" t="s">
        <v>2305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</row>
    <row r="1203" spans="1:17">
      <c r="A1203" t="s">
        <v>2306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</row>
    <row r="1204" spans="1:17">
      <c r="A1204" t="s">
        <v>2307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</row>
    <row r="1205" spans="1:17">
      <c r="A1205" t="s">
        <v>2308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</row>
    <row r="1206" spans="1:17">
      <c r="A1206" t="s">
        <v>2309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</row>
    <row r="1207" spans="1:17">
      <c r="A1207" t="s">
        <v>2310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</row>
    <row r="1208" spans="1:17">
      <c r="A1208" t="s">
        <v>2311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</row>
    <row r="1209" spans="1:17">
      <c r="A1209" t="s">
        <v>2312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</row>
    <row r="1210" spans="1:17">
      <c r="A1210" t="s">
        <v>2313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</row>
    <row r="1211" spans="1:17">
      <c r="A1211" t="s">
        <v>2314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</row>
    <row r="1212" spans="1:17">
      <c r="A1212" t="s">
        <v>2315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</row>
    <row r="1213" spans="1:17">
      <c r="A1213" t="s">
        <v>2316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</row>
    <row r="1214" spans="1:17">
      <c r="A1214" t="s">
        <v>2317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</row>
    <row r="1215" spans="1:17">
      <c r="A1215" t="s">
        <v>2318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</row>
    <row r="1216" spans="1:17">
      <c r="A1216" t="s">
        <v>2319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</row>
    <row r="1217" spans="1:17">
      <c r="A1217" t="s">
        <v>2320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</row>
    <row r="1218" spans="1:17">
      <c r="A1218" t="s">
        <v>2321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</row>
    <row r="1219" spans="1:17">
      <c r="A1219" t="s">
        <v>2322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</row>
    <row r="1220" spans="1:17">
      <c r="A1220" t="s">
        <v>2323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</row>
    <row r="1221" spans="1:17">
      <c r="A1221" t="s">
        <v>2324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</row>
    <row r="1222" spans="1:17">
      <c r="A1222" t="s">
        <v>2325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</row>
    <row r="1223" spans="1:17">
      <c r="A1223" t="s">
        <v>2326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</row>
    <row r="1224" spans="1:17">
      <c r="A1224" t="s">
        <v>2327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</row>
    <row r="1225" spans="1:17">
      <c r="A1225" t="s">
        <v>2328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</row>
    <row r="1227" spans="1:17">
      <c r="B1227" t="s">
        <v>2369</v>
      </c>
      <c r="C1227">
        <v>15</v>
      </c>
      <c r="D1227">
        <v>16</v>
      </c>
      <c r="E1227">
        <v>1</v>
      </c>
    </row>
    <row r="1228" spans="1:17">
      <c r="B1228" t="s">
        <v>2301</v>
      </c>
      <c r="C1228" t="s">
        <v>2302</v>
      </c>
      <c r="D1228" t="s">
        <v>2303</v>
      </c>
      <c r="E1228" t="s">
        <v>2304</v>
      </c>
      <c r="F1228" t="s">
        <v>2356</v>
      </c>
      <c r="G1228" t="s">
        <v>2357</v>
      </c>
      <c r="H1228" t="s">
        <v>2358</v>
      </c>
      <c r="I1228" t="s">
        <v>2359</v>
      </c>
      <c r="J1228" t="s">
        <v>2360</v>
      </c>
      <c r="K1228" t="s">
        <v>2361</v>
      </c>
      <c r="L1228" t="s">
        <v>2362</v>
      </c>
      <c r="M1228" t="s">
        <v>2363</v>
      </c>
      <c r="N1228" t="s">
        <v>2364</v>
      </c>
      <c r="O1228" t="s">
        <v>2365</v>
      </c>
      <c r="P1228" t="s">
        <v>2366</v>
      </c>
      <c r="Q1228" t="s">
        <v>2367</v>
      </c>
    </row>
    <row r="1229" spans="1:17">
      <c r="A1229" t="s">
        <v>2370</v>
      </c>
      <c r="B1229" t="str">
        <f t="shared" ref="B1229:Q1229" si="175">"OFF"</f>
        <v>OFF</v>
      </c>
      <c r="C1229" t="str">
        <f t="shared" si="175"/>
        <v>OFF</v>
      </c>
      <c r="D1229" t="str">
        <f t="shared" si="175"/>
        <v>OFF</v>
      </c>
      <c r="E1229" t="str">
        <f t="shared" si="175"/>
        <v>OFF</v>
      </c>
      <c r="F1229" t="str">
        <f t="shared" si="175"/>
        <v>OFF</v>
      </c>
      <c r="G1229" t="str">
        <f t="shared" si="175"/>
        <v>OFF</v>
      </c>
      <c r="H1229" t="str">
        <f t="shared" si="175"/>
        <v>OFF</v>
      </c>
      <c r="I1229" t="str">
        <f t="shared" si="175"/>
        <v>OFF</v>
      </c>
      <c r="J1229" t="str">
        <f t="shared" si="175"/>
        <v>OFF</v>
      </c>
      <c r="K1229" t="str">
        <f t="shared" si="175"/>
        <v>OFF</v>
      </c>
      <c r="L1229" t="str">
        <f t="shared" si="175"/>
        <v>OFF</v>
      </c>
      <c r="M1229" t="str">
        <f t="shared" si="175"/>
        <v>OFF</v>
      </c>
      <c r="N1229" t="str">
        <f t="shared" si="175"/>
        <v>OFF</v>
      </c>
      <c r="O1229" t="str">
        <f t="shared" si="175"/>
        <v>OFF</v>
      </c>
      <c r="P1229" t="str">
        <f t="shared" si="175"/>
        <v>OFF</v>
      </c>
      <c r="Q1229" t="str">
        <f t="shared" si="175"/>
        <v>OFF</v>
      </c>
    </row>
    <row r="1230" spans="1:17">
      <c r="A1230" t="s">
        <v>2371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</row>
    <row r="1231" spans="1:17">
      <c r="A1231" t="s">
        <v>2372</v>
      </c>
      <c r="B1231" t="str">
        <f t="shared" ref="B1231:Q1232" si="176">"OFF"</f>
        <v>OFF</v>
      </c>
      <c r="C1231" t="str">
        <f t="shared" si="176"/>
        <v>OFF</v>
      </c>
      <c r="D1231" t="str">
        <f t="shared" si="176"/>
        <v>OFF</v>
      </c>
      <c r="E1231" t="str">
        <f t="shared" si="176"/>
        <v>OFF</v>
      </c>
      <c r="F1231" t="str">
        <f t="shared" si="176"/>
        <v>OFF</v>
      </c>
      <c r="G1231" t="str">
        <f t="shared" si="176"/>
        <v>OFF</v>
      </c>
      <c r="H1231" t="str">
        <f t="shared" si="176"/>
        <v>OFF</v>
      </c>
      <c r="I1231" t="str">
        <f t="shared" si="176"/>
        <v>OFF</v>
      </c>
      <c r="J1231" t="str">
        <f t="shared" si="176"/>
        <v>OFF</v>
      </c>
      <c r="K1231" t="str">
        <f t="shared" si="176"/>
        <v>OFF</v>
      </c>
      <c r="L1231" t="str">
        <f t="shared" si="176"/>
        <v>OFF</v>
      </c>
      <c r="M1231" t="str">
        <f t="shared" si="176"/>
        <v>OFF</v>
      </c>
      <c r="N1231" t="str">
        <f t="shared" si="176"/>
        <v>OFF</v>
      </c>
      <c r="O1231" t="str">
        <f t="shared" si="176"/>
        <v>OFF</v>
      </c>
      <c r="P1231" t="str">
        <f t="shared" si="176"/>
        <v>OFF</v>
      </c>
      <c r="Q1231" t="str">
        <f t="shared" si="176"/>
        <v>OFF</v>
      </c>
    </row>
    <row r="1232" spans="1:17">
      <c r="A1232" t="s">
        <v>2373</v>
      </c>
      <c r="B1232" t="str">
        <f t="shared" si="176"/>
        <v>OFF</v>
      </c>
      <c r="C1232" t="str">
        <f t="shared" si="176"/>
        <v>OFF</v>
      </c>
      <c r="D1232" t="str">
        <f t="shared" si="176"/>
        <v>OFF</v>
      </c>
      <c r="E1232" t="str">
        <f t="shared" si="176"/>
        <v>OFF</v>
      </c>
      <c r="F1232" t="str">
        <f t="shared" si="176"/>
        <v>OFF</v>
      </c>
      <c r="G1232" t="str">
        <f t="shared" si="176"/>
        <v>OFF</v>
      </c>
      <c r="H1232" t="str">
        <f t="shared" si="176"/>
        <v>OFF</v>
      </c>
      <c r="I1232" t="str">
        <f t="shared" si="176"/>
        <v>OFF</v>
      </c>
      <c r="J1232" t="str">
        <f t="shared" si="176"/>
        <v>OFF</v>
      </c>
      <c r="K1232" t="str">
        <f t="shared" si="176"/>
        <v>OFF</v>
      </c>
      <c r="L1232" t="str">
        <f t="shared" si="176"/>
        <v>OFF</v>
      </c>
      <c r="M1232" t="str">
        <f t="shared" si="176"/>
        <v>OFF</v>
      </c>
      <c r="N1232" t="str">
        <f t="shared" si="176"/>
        <v>OFF</v>
      </c>
      <c r="O1232" t="str">
        <f t="shared" si="176"/>
        <v>OFF</v>
      </c>
      <c r="P1232" t="str">
        <f t="shared" si="176"/>
        <v>OFF</v>
      </c>
      <c r="Q1232" t="str">
        <f t="shared" si="176"/>
        <v>OFF</v>
      </c>
    </row>
    <row r="1233" spans="1:49">
      <c r="A1233" t="s">
        <v>2374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</row>
    <row r="1234" spans="1:49">
      <c r="A1234" t="s">
        <v>2375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</row>
    <row r="1235" spans="1:49">
      <c r="A1235" t="s">
        <v>2376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</row>
    <row r="1236" spans="1:49">
      <c r="A1236" t="s">
        <v>2377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</row>
    <row r="1237" spans="1:49">
      <c r="A1237" t="s">
        <v>2378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</row>
    <row r="1238" spans="1:49">
      <c r="A1238" t="s">
        <v>2379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</row>
    <row r="1239" spans="1:49">
      <c r="A1239" t="s">
        <v>2380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</row>
    <row r="1240" spans="1:49">
      <c r="A1240" t="s">
        <v>2381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</row>
    <row r="1241" spans="1:49">
      <c r="A1241" t="s">
        <v>2382</v>
      </c>
      <c r="B1241" t="str">
        <f t="shared" ref="B1241:Q1241" si="177">"OFF"</f>
        <v>OFF</v>
      </c>
      <c r="C1241" t="str">
        <f t="shared" si="177"/>
        <v>OFF</v>
      </c>
      <c r="D1241" t="str">
        <f t="shared" si="177"/>
        <v>OFF</v>
      </c>
      <c r="E1241" t="str">
        <f t="shared" si="177"/>
        <v>OFF</v>
      </c>
      <c r="F1241" t="str">
        <f t="shared" si="177"/>
        <v>OFF</v>
      </c>
      <c r="G1241" t="str">
        <f t="shared" si="177"/>
        <v>OFF</v>
      </c>
      <c r="H1241" t="str">
        <f t="shared" si="177"/>
        <v>OFF</v>
      </c>
      <c r="I1241" t="str">
        <f t="shared" si="177"/>
        <v>OFF</v>
      </c>
      <c r="J1241" t="str">
        <f t="shared" si="177"/>
        <v>OFF</v>
      </c>
      <c r="K1241" t="str">
        <f t="shared" si="177"/>
        <v>OFF</v>
      </c>
      <c r="L1241" t="str">
        <f t="shared" si="177"/>
        <v>OFF</v>
      </c>
      <c r="M1241" t="str">
        <f t="shared" si="177"/>
        <v>OFF</v>
      </c>
      <c r="N1241" t="str">
        <f t="shared" si="177"/>
        <v>OFF</v>
      </c>
      <c r="O1241" t="str">
        <f t="shared" si="177"/>
        <v>OFF</v>
      </c>
      <c r="P1241" t="str">
        <f t="shared" si="177"/>
        <v>OFF</v>
      </c>
      <c r="Q1241" t="str">
        <f t="shared" si="177"/>
        <v>OFF</v>
      </c>
    </row>
    <row r="1242" spans="1:49">
      <c r="A1242" t="s">
        <v>2383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</row>
    <row r="1243" spans="1:49">
      <c r="A1243" t="s">
        <v>2384</v>
      </c>
      <c r="B1243">
        <v>0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</row>
    <row r="1245" spans="1:49">
      <c r="B1245" t="s">
        <v>2385</v>
      </c>
      <c r="C1245">
        <v>1</v>
      </c>
      <c r="D1245">
        <v>48</v>
      </c>
      <c r="E1245">
        <v>1</v>
      </c>
    </row>
    <row r="1246" spans="1:49">
      <c r="B1246" t="s">
        <v>1604</v>
      </c>
      <c r="C1246" t="s">
        <v>1605</v>
      </c>
      <c r="D1246" t="s">
        <v>1606</v>
      </c>
      <c r="E1246" t="s">
        <v>1607</v>
      </c>
      <c r="F1246" t="s">
        <v>1608</v>
      </c>
      <c r="G1246" t="s">
        <v>1609</v>
      </c>
      <c r="H1246" t="s">
        <v>1610</v>
      </c>
      <c r="I1246" t="s">
        <v>1611</v>
      </c>
      <c r="J1246" t="s">
        <v>1612</v>
      </c>
      <c r="K1246" t="s">
        <v>1613</v>
      </c>
      <c r="L1246" t="s">
        <v>1614</v>
      </c>
      <c r="M1246" t="s">
        <v>1615</v>
      </c>
      <c r="N1246" t="s">
        <v>1616</v>
      </c>
      <c r="O1246" t="s">
        <v>1617</v>
      </c>
      <c r="P1246" t="s">
        <v>1618</v>
      </c>
      <c r="Q1246" t="s">
        <v>1619</v>
      </c>
      <c r="R1246" t="s">
        <v>1620</v>
      </c>
      <c r="S1246" t="s">
        <v>1621</v>
      </c>
      <c r="T1246" t="s">
        <v>1622</v>
      </c>
      <c r="U1246" t="s">
        <v>1623</v>
      </c>
      <c r="V1246" t="s">
        <v>1624</v>
      </c>
      <c r="W1246" t="s">
        <v>1625</v>
      </c>
      <c r="X1246" t="s">
        <v>1626</v>
      </c>
      <c r="Y1246" t="s">
        <v>1627</v>
      </c>
      <c r="Z1246" t="s">
        <v>1628</v>
      </c>
      <c r="AA1246" t="s">
        <v>1629</v>
      </c>
      <c r="AB1246" t="s">
        <v>1630</v>
      </c>
      <c r="AC1246" t="s">
        <v>1631</v>
      </c>
      <c r="AD1246" t="s">
        <v>1632</v>
      </c>
      <c r="AE1246" t="s">
        <v>1633</v>
      </c>
      <c r="AF1246" t="s">
        <v>1634</v>
      </c>
      <c r="AG1246" t="s">
        <v>1635</v>
      </c>
      <c r="AH1246" t="s">
        <v>2386</v>
      </c>
      <c r="AI1246" t="s">
        <v>2387</v>
      </c>
      <c r="AJ1246" t="s">
        <v>2388</v>
      </c>
      <c r="AK1246" t="s">
        <v>2389</v>
      </c>
      <c r="AL1246" t="s">
        <v>2390</v>
      </c>
      <c r="AM1246" t="s">
        <v>2391</v>
      </c>
      <c r="AN1246" t="s">
        <v>2392</v>
      </c>
      <c r="AO1246" t="s">
        <v>2393</v>
      </c>
      <c r="AP1246" t="s">
        <v>2394</v>
      </c>
      <c r="AQ1246" t="s">
        <v>2395</v>
      </c>
      <c r="AR1246" t="s">
        <v>2396</v>
      </c>
      <c r="AS1246" t="s">
        <v>2397</v>
      </c>
      <c r="AT1246" t="s">
        <v>2398</v>
      </c>
      <c r="AU1246" t="s">
        <v>2399</v>
      </c>
      <c r="AV1246" t="s">
        <v>2400</v>
      </c>
      <c r="AW1246" t="s">
        <v>2401</v>
      </c>
    </row>
    <row r="1247" spans="1:49">
      <c r="A1247" t="s">
        <v>2402</v>
      </c>
      <c r="B1247" t="str">
        <f t="shared" ref="B1247:AW1247" si="178">"OFF"</f>
        <v>OFF</v>
      </c>
      <c r="C1247" t="str">
        <f t="shared" si="178"/>
        <v>OFF</v>
      </c>
      <c r="D1247" t="str">
        <f t="shared" si="178"/>
        <v>OFF</v>
      </c>
      <c r="E1247" t="str">
        <f t="shared" si="178"/>
        <v>OFF</v>
      </c>
      <c r="F1247" t="str">
        <f t="shared" si="178"/>
        <v>OFF</v>
      </c>
      <c r="G1247" t="str">
        <f t="shared" si="178"/>
        <v>OFF</v>
      </c>
      <c r="H1247" t="str">
        <f t="shared" si="178"/>
        <v>OFF</v>
      </c>
      <c r="I1247" t="str">
        <f t="shared" si="178"/>
        <v>OFF</v>
      </c>
      <c r="J1247" t="str">
        <f t="shared" si="178"/>
        <v>OFF</v>
      </c>
      <c r="K1247" t="str">
        <f t="shared" si="178"/>
        <v>OFF</v>
      </c>
      <c r="L1247" t="str">
        <f t="shared" si="178"/>
        <v>OFF</v>
      </c>
      <c r="M1247" t="str">
        <f t="shared" si="178"/>
        <v>OFF</v>
      </c>
      <c r="N1247" t="str">
        <f t="shared" si="178"/>
        <v>OFF</v>
      </c>
      <c r="O1247" t="str">
        <f t="shared" si="178"/>
        <v>OFF</v>
      </c>
      <c r="P1247" t="str">
        <f t="shared" si="178"/>
        <v>OFF</v>
      </c>
      <c r="Q1247" t="str">
        <f t="shared" si="178"/>
        <v>OFF</v>
      </c>
      <c r="R1247" t="str">
        <f t="shared" si="178"/>
        <v>OFF</v>
      </c>
      <c r="S1247" t="str">
        <f t="shared" si="178"/>
        <v>OFF</v>
      </c>
      <c r="T1247" t="str">
        <f t="shared" si="178"/>
        <v>OFF</v>
      </c>
      <c r="U1247" t="str">
        <f t="shared" si="178"/>
        <v>OFF</v>
      </c>
      <c r="V1247" t="str">
        <f t="shared" si="178"/>
        <v>OFF</v>
      </c>
      <c r="W1247" t="str">
        <f t="shared" si="178"/>
        <v>OFF</v>
      </c>
      <c r="X1247" t="str">
        <f t="shared" si="178"/>
        <v>OFF</v>
      </c>
      <c r="Y1247" t="str">
        <f t="shared" si="178"/>
        <v>OFF</v>
      </c>
      <c r="Z1247" t="str">
        <f t="shared" si="178"/>
        <v>OFF</v>
      </c>
      <c r="AA1247" t="str">
        <f t="shared" si="178"/>
        <v>OFF</v>
      </c>
      <c r="AB1247" t="str">
        <f t="shared" si="178"/>
        <v>OFF</v>
      </c>
      <c r="AC1247" t="str">
        <f t="shared" si="178"/>
        <v>OFF</v>
      </c>
      <c r="AD1247" t="str">
        <f t="shared" si="178"/>
        <v>OFF</v>
      </c>
      <c r="AE1247" t="str">
        <f t="shared" si="178"/>
        <v>OFF</v>
      </c>
      <c r="AF1247" t="str">
        <f t="shared" si="178"/>
        <v>OFF</v>
      </c>
      <c r="AG1247" t="str">
        <f t="shared" si="178"/>
        <v>OFF</v>
      </c>
      <c r="AH1247" t="str">
        <f t="shared" si="178"/>
        <v>OFF</v>
      </c>
      <c r="AI1247" t="str">
        <f t="shared" si="178"/>
        <v>OFF</v>
      </c>
      <c r="AJ1247" t="str">
        <f t="shared" si="178"/>
        <v>OFF</v>
      </c>
      <c r="AK1247" t="str">
        <f t="shared" si="178"/>
        <v>OFF</v>
      </c>
      <c r="AL1247" t="str">
        <f t="shared" si="178"/>
        <v>OFF</v>
      </c>
      <c r="AM1247" t="str">
        <f t="shared" si="178"/>
        <v>OFF</v>
      </c>
      <c r="AN1247" t="str">
        <f t="shared" si="178"/>
        <v>OFF</v>
      </c>
      <c r="AO1247" t="str">
        <f t="shared" si="178"/>
        <v>OFF</v>
      </c>
      <c r="AP1247" t="str">
        <f t="shared" si="178"/>
        <v>OFF</v>
      </c>
      <c r="AQ1247" t="str">
        <f t="shared" si="178"/>
        <v>OFF</v>
      </c>
      <c r="AR1247" t="str">
        <f t="shared" si="178"/>
        <v>OFF</v>
      </c>
      <c r="AS1247" t="str">
        <f t="shared" si="178"/>
        <v>OFF</v>
      </c>
      <c r="AT1247" t="str">
        <f t="shared" si="178"/>
        <v>OFF</v>
      </c>
      <c r="AU1247" t="str">
        <f t="shared" si="178"/>
        <v>OFF</v>
      </c>
      <c r="AV1247" t="str">
        <f t="shared" si="178"/>
        <v>OFF</v>
      </c>
      <c r="AW1247" t="str">
        <f t="shared" si="178"/>
        <v>OFF</v>
      </c>
    </row>
    <row r="1249" spans="1:49">
      <c r="B1249" t="s">
        <v>2403</v>
      </c>
      <c r="C1249">
        <v>32</v>
      </c>
      <c r="D1249">
        <v>48</v>
      </c>
      <c r="E1249">
        <v>1</v>
      </c>
    </row>
    <row r="1250" spans="1:49">
      <c r="B1250" t="s">
        <v>1604</v>
      </c>
      <c r="C1250" t="s">
        <v>1605</v>
      </c>
      <c r="D1250" t="s">
        <v>1606</v>
      </c>
      <c r="E1250" t="s">
        <v>1607</v>
      </c>
      <c r="F1250" t="s">
        <v>1608</v>
      </c>
      <c r="G1250" t="s">
        <v>1609</v>
      </c>
      <c r="H1250" t="s">
        <v>1610</v>
      </c>
      <c r="I1250" t="s">
        <v>1611</v>
      </c>
      <c r="J1250" t="s">
        <v>1612</v>
      </c>
      <c r="K1250" t="s">
        <v>1613</v>
      </c>
      <c r="L1250" t="s">
        <v>1614</v>
      </c>
      <c r="M1250" t="s">
        <v>1615</v>
      </c>
      <c r="N1250" t="s">
        <v>1616</v>
      </c>
      <c r="O1250" t="s">
        <v>1617</v>
      </c>
      <c r="P1250" t="s">
        <v>1618</v>
      </c>
      <c r="Q1250" t="s">
        <v>1619</v>
      </c>
      <c r="R1250" t="s">
        <v>1620</v>
      </c>
      <c r="S1250" t="s">
        <v>1621</v>
      </c>
      <c r="T1250" t="s">
        <v>1622</v>
      </c>
      <c r="U1250" t="s">
        <v>1623</v>
      </c>
      <c r="V1250" t="s">
        <v>1624</v>
      </c>
      <c r="W1250" t="s">
        <v>1625</v>
      </c>
      <c r="X1250" t="s">
        <v>1626</v>
      </c>
      <c r="Y1250" t="s">
        <v>1627</v>
      </c>
      <c r="Z1250" t="s">
        <v>1628</v>
      </c>
      <c r="AA1250" t="s">
        <v>1629</v>
      </c>
      <c r="AB1250" t="s">
        <v>1630</v>
      </c>
      <c r="AC1250" t="s">
        <v>1631</v>
      </c>
      <c r="AD1250" t="s">
        <v>1632</v>
      </c>
      <c r="AE1250" t="s">
        <v>1633</v>
      </c>
      <c r="AF1250" t="s">
        <v>1634</v>
      </c>
      <c r="AG1250" t="s">
        <v>1635</v>
      </c>
      <c r="AH1250" t="s">
        <v>2386</v>
      </c>
      <c r="AI1250" t="s">
        <v>2387</v>
      </c>
      <c r="AJ1250" t="s">
        <v>2388</v>
      </c>
      <c r="AK1250" t="s">
        <v>2389</v>
      </c>
      <c r="AL1250" t="s">
        <v>2390</v>
      </c>
      <c r="AM1250" t="s">
        <v>2391</v>
      </c>
      <c r="AN1250" t="s">
        <v>2392</v>
      </c>
      <c r="AO1250" t="s">
        <v>2393</v>
      </c>
      <c r="AP1250" t="s">
        <v>2394</v>
      </c>
      <c r="AQ1250" t="s">
        <v>2395</v>
      </c>
      <c r="AR1250" t="s">
        <v>2396</v>
      </c>
      <c r="AS1250" t="s">
        <v>2397</v>
      </c>
      <c r="AT1250" t="s">
        <v>2398</v>
      </c>
      <c r="AU1250" t="s">
        <v>2399</v>
      </c>
      <c r="AV1250" t="s">
        <v>2400</v>
      </c>
      <c r="AW1250" t="s">
        <v>2401</v>
      </c>
    </row>
    <row r="1251" spans="1:49">
      <c r="A1251" t="s">
        <v>763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</row>
    <row r="1252" spans="1:49">
      <c r="A1252" t="s">
        <v>2404</v>
      </c>
      <c r="B1252">
        <v>0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</row>
    <row r="1253" spans="1:49">
      <c r="A1253" t="s">
        <v>2405</v>
      </c>
      <c r="B1253" t="str">
        <f t="shared" ref="B1253:AW1253" si="179">"Off"</f>
        <v>Off</v>
      </c>
      <c r="C1253" t="str">
        <f t="shared" si="179"/>
        <v>Off</v>
      </c>
      <c r="D1253" t="str">
        <f t="shared" si="179"/>
        <v>Off</v>
      </c>
      <c r="E1253" t="str">
        <f t="shared" si="179"/>
        <v>Off</v>
      </c>
      <c r="F1253" t="str">
        <f t="shared" si="179"/>
        <v>Off</v>
      </c>
      <c r="G1253" t="str">
        <f t="shared" si="179"/>
        <v>Off</v>
      </c>
      <c r="H1253" t="str">
        <f t="shared" si="179"/>
        <v>Off</v>
      </c>
      <c r="I1253" t="str">
        <f t="shared" si="179"/>
        <v>Off</v>
      </c>
      <c r="J1253" t="str">
        <f t="shared" si="179"/>
        <v>Off</v>
      </c>
      <c r="K1253" t="str">
        <f t="shared" si="179"/>
        <v>Off</v>
      </c>
      <c r="L1253" t="str">
        <f t="shared" si="179"/>
        <v>Off</v>
      </c>
      <c r="M1253" t="str">
        <f t="shared" si="179"/>
        <v>Off</v>
      </c>
      <c r="N1253" t="str">
        <f t="shared" si="179"/>
        <v>Off</v>
      </c>
      <c r="O1253" t="str">
        <f t="shared" si="179"/>
        <v>Off</v>
      </c>
      <c r="P1253" t="str">
        <f t="shared" si="179"/>
        <v>Off</v>
      </c>
      <c r="Q1253" t="str">
        <f t="shared" si="179"/>
        <v>Off</v>
      </c>
      <c r="R1253" t="str">
        <f t="shared" si="179"/>
        <v>Off</v>
      </c>
      <c r="S1253" t="str">
        <f t="shared" si="179"/>
        <v>Off</v>
      </c>
      <c r="T1253" t="str">
        <f t="shared" si="179"/>
        <v>Off</v>
      </c>
      <c r="U1253" t="str">
        <f t="shared" si="179"/>
        <v>Off</v>
      </c>
      <c r="V1253" t="str">
        <f t="shared" si="179"/>
        <v>Off</v>
      </c>
      <c r="W1253" t="str">
        <f t="shared" si="179"/>
        <v>Off</v>
      </c>
      <c r="X1253" t="str">
        <f t="shared" si="179"/>
        <v>Off</v>
      </c>
      <c r="Y1253" t="str">
        <f t="shared" si="179"/>
        <v>Off</v>
      </c>
      <c r="Z1253" t="str">
        <f t="shared" si="179"/>
        <v>Off</v>
      </c>
      <c r="AA1253" t="str">
        <f t="shared" si="179"/>
        <v>Off</v>
      </c>
      <c r="AB1253" t="str">
        <f t="shared" si="179"/>
        <v>Off</v>
      </c>
      <c r="AC1253" t="str">
        <f t="shared" si="179"/>
        <v>Off</v>
      </c>
      <c r="AD1253" t="str">
        <f t="shared" si="179"/>
        <v>Off</v>
      </c>
      <c r="AE1253" t="str">
        <f t="shared" si="179"/>
        <v>Off</v>
      </c>
      <c r="AF1253" t="str">
        <f t="shared" si="179"/>
        <v>Off</v>
      </c>
      <c r="AG1253" t="str">
        <f t="shared" si="179"/>
        <v>Off</v>
      </c>
      <c r="AH1253" t="str">
        <f t="shared" si="179"/>
        <v>Off</v>
      </c>
      <c r="AI1253" t="str">
        <f t="shared" si="179"/>
        <v>Off</v>
      </c>
      <c r="AJ1253" t="str">
        <f t="shared" si="179"/>
        <v>Off</v>
      </c>
      <c r="AK1253" t="str">
        <f t="shared" si="179"/>
        <v>Off</v>
      </c>
      <c r="AL1253" t="str">
        <f t="shared" si="179"/>
        <v>Off</v>
      </c>
      <c r="AM1253" t="str">
        <f t="shared" si="179"/>
        <v>Off</v>
      </c>
      <c r="AN1253" t="str">
        <f t="shared" si="179"/>
        <v>Off</v>
      </c>
      <c r="AO1253" t="str">
        <f t="shared" si="179"/>
        <v>Off</v>
      </c>
      <c r="AP1253" t="str">
        <f t="shared" si="179"/>
        <v>Off</v>
      </c>
      <c r="AQ1253" t="str">
        <f t="shared" si="179"/>
        <v>Off</v>
      </c>
      <c r="AR1253" t="str">
        <f t="shared" si="179"/>
        <v>Off</v>
      </c>
      <c r="AS1253" t="str">
        <f t="shared" si="179"/>
        <v>Off</v>
      </c>
      <c r="AT1253" t="str">
        <f t="shared" si="179"/>
        <v>Off</v>
      </c>
      <c r="AU1253" t="str">
        <f t="shared" si="179"/>
        <v>Off</v>
      </c>
      <c r="AV1253" t="str">
        <f t="shared" si="179"/>
        <v>Off</v>
      </c>
      <c r="AW1253" t="str">
        <f t="shared" si="179"/>
        <v>Off</v>
      </c>
    </row>
    <row r="1254" spans="1:49">
      <c r="A1254" t="s">
        <v>2406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</row>
    <row r="1255" spans="1:49">
      <c r="A1255" t="s">
        <v>2407</v>
      </c>
      <c r="B1255" t="str">
        <f t="shared" ref="B1255:AW1255" si="180">"DFT"</f>
        <v>DFT</v>
      </c>
      <c r="C1255" t="str">
        <f t="shared" si="180"/>
        <v>DFT</v>
      </c>
      <c r="D1255" t="str">
        <f t="shared" si="180"/>
        <v>DFT</v>
      </c>
      <c r="E1255" t="str">
        <f t="shared" si="180"/>
        <v>DFT</v>
      </c>
      <c r="F1255" t="str">
        <f t="shared" si="180"/>
        <v>DFT</v>
      </c>
      <c r="G1255" t="str">
        <f t="shared" si="180"/>
        <v>DFT</v>
      </c>
      <c r="H1255" t="str">
        <f t="shared" si="180"/>
        <v>DFT</v>
      </c>
      <c r="I1255" t="str">
        <f t="shared" si="180"/>
        <v>DFT</v>
      </c>
      <c r="J1255" t="str">
        <f t="shared" si="180"/>
        <v>DFT</v>
      </c>
      <c r="K1255" t="str">
        <f t="shared" si="180"/>
        <v>DFT</v>
      </c>
      <c r="L1255" t="str">
        <f t="shared" si="180"/>
        <v>DFT</v>
      </c>
      <c r="M1255" t="str">
        <f t="shared" si="180"/>
        <v>DFT</v>
      </c>
      <c r="N1255" t="str">
        <f t="shared" si="180"/>
        <v>DFT</v>
      </c>
      <c r="O1255" t="str">
        <f t="shared" si="180"/>
        <v>DFT</v>
      </c>
      <c r="P1255" t="str">
        <f t="shared" si="180"/>
        <v>DFT</v>
      </c>
      <c r="Q1255" t="str">
        <f t="shared" si="180"/>
        <v>DFT</v>
      </c>
      <c r="R1255" t="str">
        <f t="shared" si="180"/>
        <v>DFT</v>
      </c>
      <c r="S1255" t="str">
        <f t="shared" si="180"/>
        <v>DFT</v>
      </c>
      <c r="T1255" t="str">
        <f t="shared" si="180"/>
        <v>DFT</v>
      </c>
      <c r="U1255" t="str">
        <f t="shared" si="180"/>
        <v>DFT</v>
      </c>
      <c r="V1255" t="str">
        <f t="shared" si="180"/>
        <v>DFT</v>
      </c>
      <c r="W1255" t="str">
        <f t="shared" si="180"/>
        <v>DFT</v>
      </c>
      <c r="X1255" t="str">
        <f t="shared" si="180"/>
        <v>DFT</v>
      </c>
      <c r="Y1255" t="str">
        <f t="shared" si="180"/>
        <v>DFT</v>
      </c>
      <c r="Z1255" t="str">
        <f t="shared" si="180"/>
        <v>DFT</v>
      </c>
      <c r="AA1255" t="str">
        <f t="shared" si="180"/>
        <v>DFT</v>
      </c>
      <c r="AB1255" t="str">
        <f t="shared" si="180"/>
        <v>DFT</v>
      </c>
      <c r="AC1255" t="str">
        <f t="shared" si="180"/>
        <v>DFT</v>
      </c>
      <c r="AD1255" t="str">
        <f t="shared" si="180"/>
        <v>DFT</v>
      </c>
      <c r="AE1255" t="str">
        <f t="shared" si="180"/>
        <v>DFT</v>
      </c>
      <c r="AF1255" t="str">
        <f t="shared" si="180"/>
        <v>DFT</v>
      </c>
      <c r="AG1255" t="str">
        <f t="shared" si="180"/>
        <v>DFT</v>
      </c>
      <c r="AH1255" t="str">
        <f t="shared" si="180"/>
        <v>DFT</v>
      </c>
      <c r="AI1255" t="str">
        <f t="shared" si="180"/>
        <v>DFT</v>
      </c>
      <c r="AJ1255" t="str">
        <f t="shared" si="180"/>
        <v>DFT</v>
      </c>
      <c r="AK1255" t="str">
        <f t="shared" si="180"/>
        <v>DFT</v>
      </c>
      <c r="AL1255" t="str">
        <f t="shared" si="180"/>
        <v>DFT</v>
      </c>
      <c r="AM1255" t="str">
        <f t="shared" si="180"/>
        <v>DFT</v>
      </c>
      <c r="AN1255" t="str">
        <f t="shared" si="180"/>
        <v>DFT</v>
      </c>
      <c r="AO1255" t="str">
        <f t="shared" si="180"/>
        <v>DFT</v>
      </c>
      <c r="AP1255" t="str">
        <f t="shared" si="180"/>
        <v>DFT</v>
      </c>
      <c r="AQ1255" t="str">
        <f t="shared" si="180"/>
        <v>DFT</v>
      </c>
      <c r="AR1255" t="str">
        <f t="shared" si="180"/>
        <v>DFT</v>
      </c>
      <c r="AS1255" t="str">
        <f t="shared" si="180"/>
        <v>DFT</v>
      </c>
      <c r="AT1255" t="str">
        <f t="shared" si="180"/>
        <v>DFT</v>
      </c>
      <c r="AU1255" t="str">
        <f t="shared" si="180"/>
        <v>DFT</v>
      </c>
      <c r="AV1255" t="str">
        <f t="shared" si="180"/>
        <v>DFT</v>
      </c>
      <c r="AW1255" t="str">
        <f t="shared" si="180"/>
        <v>DFT</v>
      </c>
    </row>
    <row r="1256" spans="1:49">
      <c r="A1256" t="s">
        <v>14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</row>
    <row r="1257" spans="1:49">
      <c r="A1257" t="s">
        <v>2408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</row>
    <row r="1258" spans="1:49">
      <c r="A1258" t="s">
        <v>2409</v>
      </c>
      <c r="B1258" t="str">
        <f t="shared" ref="B1258:AW1258" si="181">"Off"</f>
        <v>Off</v>
      </c>
      <c r="C1258" t="str">
        <f t="shared" si="181"/>
        <v>Off</v>
      </c>
      <c r="D1258" t="str">
        <f t="shared" si="181"/>
        <v>Off</v>
      </c>
      <c r="E1258" t="str">
        <f t="shared" si="181"/>
        <v>Off</v>
      </c>
      <c r="F1258" t="str">
        <f t="shared" si="181"/>
        <v>Off</v>
      </c>
      <c r="G1258" t="str">
        <f t="shared" si="181"/>
        <v>Off</v>
      </c>
      <c r="H1258" t="str">
        <f t="shared" si="181"/>
        <v>Off</v>
      </c>
      <c r="I1258" t="str">
        <f t="shared" si="181"/>
        <v>Off</v>
      </c>
      <c r="J1258" t="str">
        <f t="shared" si="181"/>
        <v>Off</v>
      </c>
      <c r="K1258" t="str">
        <f t="shared" si="181"/>
        <v>Off</v>
      </c>
      <c r="L1258" t="str">
        <f t="shared" si="181"/>
        <v>Off</v>
      </c>
      <c r="M1258" t="str">
        <f t="shared" si="181"/>
        <v>Off</v>
      </c>
      <c r="N1258" t="str">
        <f t="shared" si="181"/>
        <v>Off</v>
      </c>
      <c r="O1258" t="str">
        <f t="shared" si="181"/>
        <v>Off</v>
      </c>
      <c r="P1258" t="str">
        <f t="shared" si="181"/>
        <v>Off</v>
      </c>
      <c r="Q1258" t="str">
        <f t="shared" si="181"/>
        <v>Off</v>
      </c>
      <c r="R1258" t="str">
        <f t="shared" si="181"/>
        <v>Off</v>
      </c>
      <c r="S1258" t="str">
        <f t="shared" si="181"/>
        <v>Off</v>
      </c>
      <c r="T1258" t="str">
        <f t="shared" si="181"/>
        <v>Off</v>
      </c>
      <c r="U1258" t="str">
        <f t="shared" si="181"/>
        <v>Off</v>
      </c>
      <c r="V1258" t="str">
        <f t="shared" si="181"/>
        <v>Off</v>
      </c>
      <c r="W1258" t="str">
        <f t="shared" si="181"/>
        <v>Off</v>
      </c>
      <c r="X1258" t="str">
        <f t="shared" si="181"/>
        <v>Off</v>
      </c>
      <c r="Y1258" t="str">
        <f t="shared" si="181"/>
        <v>Off</v>
      </c>
      <c r="Z1258" t="str">
        <f t="shared" si="181"/>
        <v>Off</v>
      </c>
      <c r="AA1258" t="str">
        <f t="shared" si="181"/>
        <v>Off</v>
      </c>
      <c r="AB1258" t="str">
        <f t="shared" si="181"/>
        <v>Off</v>
      </c>
      <c r="AC1258" t="str">
        <f t="shared" si="181"/>
        <v>Off</v>
      </c>
      <c r="AD1258" t="str">
        <f t="shared" si="181"/>
        <v>Off</v>
      </c>
      <c r="AE1258" t="str">
        <f t="shared" si="181"/>
        <v>Off</v>
      </c>
      <c r="AF1258" t="str">
        <f t="shared" si="181"/>
        <v>Off</v>
      </c>
      <c r="AG1258" t="str">
        <f t="shared" si="181"/>
        <v>Off</v>
      </c>
      <c r="AH1258" t="str">
        <f t="shared" si="181"/>
        <v>Off</v>
      </c>
      <c r="AI1258" t="str">
        <f t="shared" si="181"/>
        <v>Off</v>
      </c>
      <c r="AJ1258" t="str">
        <f t="shared" si="181"/>
        <v>Off</v>
      </c>
      <c r="AK1258" t="str">
        <f t="shared" si="181"/>
        <v>Off</v>
      </c>
      <c r="AL1258" t="str">
        <f t="shared" si="181"/>
        <v>Off</v>
      </c>
      <c r="AM1258" t="str">
        <f t="shared" si="181"/>
        <v>Off</v>
      </c>
      <c r="AN1258" t="str">
        <f t="shared" si="181"/>
        <v>Off</v>
      </c>
      <c r="AO1258" t="str">
        <f t="shared" si="181"/>
        <v>Off</v>
      </c>
      <c r="AP1258" t="str">
        <f t="shared" si="181"/>
        <v>Off</v>
      </c>
      <c r="AQ1258" t="str">
        <f t="shared" si="181"/>
        <v>Off</v>
      </c>
      <c r="AR1258" t="str">
        <f t="shared" si="181"/>
        <v>Off</v>
      </c>
      <c r="AS1258" t="str">
        <f t="shared" si="181"/>
        <v>Off</v>
      </c>
      <c r="AT1258" t="str">
        <f t="shared" si="181"/>
        <v>Off</v>
      </c>
      <c r="AU1258" t="str">
        <f t="shared" si="181"/>
        <v>Off</v>
      </c>
      <c r="AV1258" t="str">
        <f t="shared" si="181"/>
        <v>Off</v>
      </c>
      <c r="AW1258" t="str">
        <f t="shared" si="181"/>
        <v>Off</v>
      </c>
    </row>
    <row r="1259" spans="1:49">
      <c r="A1259" t="s">
        <v>11</v>
      </c>
      <c r="B1259" t="str">
        <f t="shared" ref="B1259:AW1259" si="182">"DFT"</f>
        <v>DFT</v>
      </c>
      <c r="C1259" t="str">
        <f t="shared" si="182"/>
        <v>DFT</v>
      </c>
      <c r="D1259" t="str">
        <f t="shared" si="182"/>
        <v>DFT</v>
      </c>
      <c r="E1259" t="str">
        <f t="shared" si="182"/>
        <v>DFT</v>
      </c>
      <c r="F1259" t="str">
        <f t="shared" si="182"/>
        <v>DFT</v>
      </c>
      <c r="G1259" t="str">
        <f t="shared" si="182"/>
        <v>DFT</v>
      </c>
      <c r="H1259" t="str">
        <f t="shared" si="182"/>
        <v>DFT</v>
      </c>
      <c r="I1259" t="str">
        <f t="shared" si="182"/>
        <v>DFT</v>
      </c>
      <c r="J1259" t="str">
        <f t="shared" si="182"/>
        <v>DFT</v>
      </c>
      <c r="K1259" t="str">
        <f t="shared" si="182"/>
        <v>DFT</v>
      </c>
      <c r="L1259" t="str">
        <f t="shared" si="182"/>
        <v>DFT</v>
      </c>
      <c r="M1259" t="str">
        <f t="shared" si="182"/>
        <v>DFT</v>
      </c>
      <c r="N1259" t="str">
        <f t="shared" si="182"/>
        <v>DFT</v>
      </c>
      <c r="O1259" t="str">
        <f t="shared" si="182"/>
        <v>DFT</v>
      </c>
      <c r="P1259" t="str">
        <f t="shared" si="182"/>
        <v>DFT</v>
      </c>
      <c r="Q1259" t="str">
        <f t="shared" si="182"/>
        <v>DFT</v>
      </c>
      <c r="R1259" t="str">
        <f t="shared" si="182"/>
        <v>DFT</v>
      </c>
      <c r="S1259" t="str">
        <f t="shared" si="182"/>
        <v>DFT</v>
      </c>
      <c r="T1259" t="str">
        <f t="shared" si="182"/>
        <v>DFT</v>
      </c>
      <c r="U1259" t="str">
        <f t="shared" si="182"/>
        <v>DFT</v>
      </c>
      <c r="V1259" t="str">
        <f t="shared" si="182"/>
        <v>DFT</v>
      </c>
      <c r="W1259" t="str">
        <f t="shared" si="182"/>
        <v>DFT</v>
      </c>
      <c r="X1259" t="str">
        <f t="shared" si="182"/>
        <v>DFT</v>
      </c>
      <c r="Y1259" t="str">
        <f t="shared" si="182"/>
        <v>DFT</v>
      </c>
      <c r="Z1259" t="str">
        <f t="shared" si="182"/>
        <v>DFT</v>
      </c>
      <c r="AA1259" t="str">
        <f t="shared" si="182"/>
        <v>DFT</v>
      </c>
      <c r="AB1259" t="str">
        <f t="shared" si="182"/>
        <v>DFT</v>
      </c>
      <c r="AC1259" t="str">
        <f t="shared" si="182"/>
        <v>DFT</v>
      </c>
      <c r="AD1259" t="str">
        <f t="shared" si="182"/>
        <v>DFT</v>
      </c>
      <c r="AE1259" t="str">
        <f t="shared" si="182"/>
        <v>DFT</v>
      </c>
      <c r="AF1259" t="str">
        <f t="shared" si="182"/>
        <v>DFT</v>
      </c>
      <c r="AG1259" t="str">
        <f t="shared" si="182"/>
        <v>DFT</v>
      </c>
      <c r="AH1259" t="str">
        <f t="shared" si="182"/>
        <v>DFT</v>
      </c>
      <c r="AI1259" t="str">
        <f t="shared" si="182"/>
        <v>DFT</v>
      </c>
      <c r="AJ1259" t="str">
        <f t="shared" si="182"/>
        <v>DFT</v>
      </c>
      <c r="AK1259" t="str">
        <f t="shared" si="182"/>
        <v>DFT</v>
      </c>
      <c r="AL1259" t="str">
        <f t="shared" si="182"/>
        <v>DFT</v>
      </c>
      <c r="AM1259" t="str">
        <f t="shared" si="182"/>
        <v>DFT</v>
      </c>
      <c r="AN1259" t="str">
        <f t="shared" si="182"/>
        <v>DFT</v>
      </c>
      <c r="AO1259" t="str">
        <f t="shared" si="182"/>
        <v>DFT</v>
      </c>
      <c r="AP1259" t="str">
        <f t="shared" si="182"/>
        <v>DFT</v>
      </c>
      <c r="AQ1259" t="str">
        <f t="shared" si="182"/>
        <v>DFT</v>
      </c>
      <c r="AR1259" t="str">
        <f t="shared" si="182"/>
        <v>DFT</v>
      </c>
      <c r="AS1259" t="str">
        <f t="shared" si="182"/>
        <v>DFT</v>
      </c>
      <c r="AT1259" t="str">
        <f t="shared" si="182"/>
        <v>DFT</v>
      </c>
      <c r="AU1259" t="str">
        <f t="shared" si="182"/>
        <v>DFT</v>
      </c>
      <c r="AV1259" t="str">
        <f t="shared" si="182"/>
        <v>DFT</v>
      </c>
      <c r="AW1259" t="str">
        <f t="shared" si="182"/>
        <v>DFT</v>
      </c>
    </row>
    <row r="1260" spans="1:49">
      <c r="A1260" t="s">
        <v>15</v>
      </c>
      <c r="B1260">
        <v>25</v>
      </c>
      <c r="C1260">
        <v>25</v>
      </c>
      <c r="D1260">
        <v>25</v>
      </c>
      <c r="E1260">
        <v>25</v>
      </c>
      <c r="F1260">
        <v>25</v>
      </c>
      <c r="G1260">
        <v>25</v>
      </c>
      <c r="H1260">
        <v>25</v>
      </c>
      <c r="I1260">
        <v>25</v>
      </c>
      <c r="J1260">
        <v>25</v>
      </c>
      <c r="K1260">
        <v>25</v>
      </c>
      <c r="L1260">
        <v>17</v>
      </c>
      <c r="M1260">
        <v>17</v>
      </c>
      <c r="N1260">
        <v>17</v>
      </c>
      <c r="O1260">
        <v>17</v>
      </c>
      <c r="P1260">
        <v>17</v>
      </c>
      <c r="Q1260">
        <v>17</v>
      </c>
      <c r="R1260">
        <v>17</v>
      </c>
      <c r="S1260">
        <v>17</v>
      </c>
      <c r="T1260">
        <v>17</v>
      </c>
      <c r="U1260">
        <v>17</v>
      </c>
      <c r="V1260">
        <v>17</v>
      </c>
      <c r="W1260">
        <v>17</v>
      </c>
      <c r="X1260">
        <v>17</v>
      </c>
      <c r="Y1260">
        <v>17</v>
      </c>
      <c r="Z1260">
        <v>17</v>
      </c>
      <c r="AA1260">
        <v>17</v>
      </c>
      <c r="AB1260">
        <v>17</v>
      </c>
      <c r="AC1260">
        <v>17</v>
      </c>
      <c r="AD1260">
        <v>17</v>
      </c>
      <c r="AE1260">
        <v>17</v>
      </c>
      <c r="AF1260">
        <v>17</v>
      </c>
      <c r="AG1260">
        <v>17</v>
      </c>
      <c r="AH1260">
        <v>17</v>
      </c>
      <c r="AI1260">
        <v>17</v>
      </c>
      <c r="AJ1260">
        <v>17</v>
      </c>
      <c r="AK1260">
        <v>17</v>
      </c>
      <c r="AL1260">
        <v>17</v>
      </c>
      <c r="AM1260">
        <v>17</v>
      </c>
      <c r="AN1260">
        <v>17</v>
      </c>
      <c r="AO1260">
        <v>17</v>
      </c>
      <c r="AP1260">
        <v>17</v>
      </c>
      <c r="AQ1260">
        <v>17</v>
      </c>
      <c r="AR1260">
        <v>17</v>
      </c>
      <c r="AS1260">
        <v>17</v>
      </c>
      <c r="AT1260">
        <v>17</v>
      </c>
      <c r="AU1260">
        <v>17</v>
      </c>
      <c r="AV1260">
        <v>17</v>
      </c>
      <c r="AW1260">
        <v>17</v>
      </c>
    </row>
    <row r="1261" spans="1:49">
      <c r="A1261" t="s">
        <v>39</v>
      </c>
      <c r="B1261" t="str">
        <f t="shared" ref="B1261:AW1261" si="183">"Off"</f>
        <v>Off</v>
      </c>
      <c r="C1261" t="str">
        <f t="shared" si="183"/>
        <v>Off</v>
      </c>
      <c r="D1261" t="str">
        <f t="shared" si="183"/>
        <v>Off</v>
      </c>
      <c r="E1261" t="str">
        <f t="shared" si="183"/>
        <v>Off</v>
      </c>
      <c r="F1261" t="str">
        <f t="shared" si="183"/>
        <v>Off</v>
      </c>
      <c r="G1261" t="str">
        <f t="shared" si="183"/>
        <v>Off</v>
      </c>
      <c r="H1261" t="str">
        <f t="shared" si="183"/>
        <v>Off</v>
      </c>
      <c r="I1261" t="str">
        <f t="shared" si="183"/>
        <v>Off</v>
      </c>
      <c r="J1261" t="str">
        <f t="shared" si="183"/>
        <v>Off</v>
      </c>
      <c r="K1261" t="str">
        <f t="shared" si="183"/>
        <v>Off</v>
      </c>
      <c r="L1261" t="str">
        <f t="shared" si="183"/>
        <v>Off</v>
      </c>
      <c r="M1261" t="str">
        <f t="shared" si="183"/>
        <v>Off</v>
      </c>
      <c r="N1261" t="str">
        <f t="shared" si="183"/>
        <v>Off</v>
      </c>
      <c r="O1261" t="str">
        <f t="shared" si="183"/>
        <v>Off</v>
      </c>
      <c r="P1261" t="str">
        <f t="shared" si="183"/>
        <v>Off</v>
      </c>
      <c r="Q1261" t="str">
        <f t="shared" si="183"/>
        <v>Off</v>
      </c>
      <c r="R1261" t="str">
        <f t="shared" si="183"/>
        <v>Off</v>
      </c>
      <c r="S1261" t="str">
        <f t="shared" si="183"/>
        <v>Off</v>
      </c>
      <c r="T1261" t="str">
        <f t="shared" si="183"/>
        <v>Off</v>
      </c>
      <c r="U1261" t="str">
        <f t="shared" si="183"/>
        <v>Off</v>
      </c>
      <c r="V1261" t="str">
        <f t="shared" si="183"/>
        <v>Off</v>
      </c>
      <c r="W1261" t="str">
        <f t="shared" si="183"/>
        <v>Off</v>
      </c>
      <c r="X1261" t="str">
        <f t="shared" si="183"/>
        <v>Off</v>
      </c>
      <c r="Y1261" t="str">
        <f t="shared" si="183"/>
        <v>Off</v>
      </c>
      <c r="Z1261" t="str">
        <f t="shared" si="183"/>
        <v>Off</v>
      </c>
      <c r="AA1261" t="str">
        <f t="shared" si="183"/>
        <v>Off</v>
      </c>
      <c r="AB1261" t="str">
        <f t="shared" si="183"/>
        <v>Off</v>
      </c>
      <c r="AC1261" t="str">
        <f t="shared" si="183"/>
        <v>Off</v>
      </c>
      <c r="AD1261" t="str">
        <f t="shared" si="183"/>
        <v>Off</v>
      </c>
      <c r="AE1261" t="str">
        <f t="shared" si="183"/>
        <v>Off</v>
      </c>
      <c r="AF1261" t="str">
        <f t="shared" si="183"/>
        <v>Off</v>
      </c>
      <c r="AG1261" t="str">
        <f t="shared" si="183"/>
        <v>Off</v>
      </c>
      <c r="AH1261" t="str">
        <f t="shared" si="183"/>
        <v>Off</v>
      </c>
      <c r="AI1261" t="str">
        <f t="shared" si="183"/>
        <v>Off</v>
      </c>
      <c r="AJ1261" t="str">
        <f t="shared" si="183"/>
        <v>Off</v>
      </c>
      <c r="AK1261" t="str">
        <f t="shared" si="183"/>
        <v>Off</v>
      </c>
      <c r="AL1261" t="str">
        <f t="shared" si="183"/>
        <v>Off</v>
      </c>
      <c r="AM1261" t="str">
        <f t="shared" si="183"/>
        <v>Off</v>
      </c>
      <c r="AN1261" t="str">
        <f t="shared" si="183"/>
        <v>Off</v>
      </c>
      <c r="AO1261" t="str">
        <f t="shared" si="183"/>
        <v>Off</v>
      </c>
      <c r="AP1261" t="str">
        <f t="shared" si="183"/>
        <v>Off</v>
      </c>
      <c r="AQ1261" t="str">
        <f t="shared" si="183"/>
        <v>Off</v>
      </c>
      <c r="AR1261" t="str">
        <f t="shared" si="183"/>
        <v>Off</v>
      </c>
      <c r="AS1261" t="str">
        <f t="shared" si="183"/>
        <v>Off</v>
      </c>
      <c r="AT1261" t="str">
        <f t="shared" si="183"/>
        <v>Off</v>
      </c>
      <c r="AU1261" t="str">
        <f t="shared" si="183"/>
        <v>Off</v>
      </c>
      <c r="AV1261" t="str">
        <f t="shared" si="183"/>
        <v>Off</v>
      </c>
      <c r="AW1261" t="str">
        <f t="shared" si="183"/>
        <v>Off</v>
      </c>
    </row>
    <row r="1262" spans="1:49">
      <c r="A1262" t="s">
        <v>2410</v>
      </c>
      <c r="B1262" t="str">
        <f t="shared" ref="B1262:AW1262" si="184">"OFF"</f>
        <v>OFF</v>
      </c>
      <c r="C1262" t="str">
        <f t="shared" si="184"/>
        <v>OFF</v>
      </c>
      <c r="D1262" t="str">
        <f t="shared" si="184"/>
        <v>OFF</v>
      </c>
      <c r="E1262" t="str">
        <f t="shared" si="184"/>
        <v>OFF</v>
      </c>
      <c r="F1262" t="str">
        <f t="shared" si="184"/>
        <v>OFF</v>
      </c>
      <c r="G1262" t="str">
        <f t="shared" si="184"/>
        <v>OFF</v>
      </c>
      <c r="H1262" t="str">
        <f t="shared" si="184"/>
        <v>OFF</v>
      </c>
      <c r="I1262" t="str">
        <f t="shared" si="184"/>
        <v>OFF</v>
      </c>
      <c r="J1262" t="str">
        <f t="shared" si="184"/>
        <v>OFF</v>
      </c>
      <c r="K1262" t="str">
        <f t="shared" si="184"/>
        <v>OFF</v>
      </c>
      <c r="L1262" t="str">
        <f t="shared" si="184"/>
        <v>OFF</v>
      </c>
      <c r="M1262" t="str">
        <f t="shared" si="184"/>
        <v>OFF</v>
      </c>
      <c r="N1262" t="str">
        <f t="shared" si="184"/>
        <v>OFF</v>
      </c>
      <c r="O1262" t="str">
        <f t="shared" si="184"/>
        <v>OFF</v>
      </c>
      <c r="P1262" t="str">
        <f t="shared" si="184"/>
        <v>OFF</v>
      </c>
      <c r="Q1262" t="str">
        <f t="shared" si="184"/>
        <v>OFF</v>
      </c>
      <c r="R1262" t="str">
        <f t="shared" si="184"/>
        <v>OFF</v>
      </c>
      <c r="S1262" t="str">
        <f t="shared" si="184"/>
        <v>OFF</v>
      </c>
      <c r="T1262" t="str">
        <f t="shared" si="184"/>
        <v>OFF</v>
      </c>
      <c r="U1262" t="str">
        <f t="shared" si="184"/>
        <v>OFF</v>
      </c>
      <c r="V1262" t="str">
        <f t="shared" si="184"/>
        <v>OFF</v>
      </c>
      <c r="W1262" t="str">
        <f t="shared" si="184"/>
        <v>OFF</v>
      </c>
      <c r="X1262" t="str">
        <f t="shared" si="184"/>
        <v>OFF</v>
      </c>
      <c r="Y1262" t="str">
        <f t="shared" si="184"/>
        <v>OFF</v>
      </c>
      <c r="Z1262" t="str">
        <f t="shared" si="184"/>
        <v>OFF</v>
      </c>
      <c r="AA1262" t="str">
        <f t="shared" si="184"/>
        <v>OFF</v>
      </c>
      <c r="AB1262" t="str">
        <f t="shared" si="184"/>
        <v>OFF</v>
      </c>
      <c r="AC1262" t="str">
        <f t="shared" si="184"/>
        <v>OFF</v>
      </c>
      <c r="AD1262" t="str">
        <f t="shared" si="184"/>
        <v>OFF</v>
      </c>
      <c r="AE1262" t="str">
        <f t="shared" si="184"/>
        <v>OFF</v>
      </c>
      <c r="AF1262" t="str">
        <f t="shared" si="184"/>
        <v>OFF</v>
      </c>
      <c r="AG1262" t="str">
        <f t="shared" si="184"/>
        <v>OFF</v>
      </c>
      <c r="AH1262" t="str">
        <f t="shared" si="184"/>
        <v>OFF</v>
      </c>
      <c r="AI1262" t="str">
        <f t="shared" si="184"/>
        <v>OFF</v>
      </c>
      <c r="AJ1262" t="str">
        <f t="shared" si="184"/>
        <v>OFF</v>
      </c>
      <c r="AK1262" t="str">
        <f t="shared" si="184"/>
        <v>OFF</v>
      </c>
      <c r="AL1262" t="str">
        <f t="shared" si="184"/>
        <v>OFF</v>
      </c>
      <c r="AM1262" t="str">
        <f t="shared" si="184"/>
        <v>OFF</v>
      </c>
      <c r="AN1262" t="str">
        <f t="shared" si="184"/>
        <v>OFF</v>
      </c>
      <c r="AO1262" t="str">
        <f t="shared" si="184"/>
        <v>OFF</v>
      </c>
      <c r="AP1262" t="str">
        <f t="shared" si="184"/>
        <v>OFF</v>
      </c>
      <c r="AQ1262" t="str">
        <f t="shared" si="184"/>
        <v>OFF</v>
      </c>
      <c r="AR1262" t="str">
        <f t="shared" si="184"/>
        <v>OFF</v>
      </c>
      <c r="AS1262" t="str">
        <f t="shared" si="184"/>
        <v>OFF</v>
      </c>
      <c r="AT1262" t="str">
        <f t="shared" si="184"/>
        <v>OFF</v>
      </c>
      <c r="AU1262" t="str">
        <f t="shared" si="184"/>
        <v>OFF</v>
      </c>
      <c r="AV1262" t="str">
        <f t="shared" si="184"/>
        <v>OFF</v>
      </c>
      <c r="AW1262" t="str">
        <f t="shared" si="184"/>
        <v>OFF</v>
      </c>
    </row>
    <row r="1263" spans="1:49">
      <c r="A1263" t="s">
        <v>2411</v>
      </c>
      <c r="B1263" t="str">
        <f t="shared" ref="B1263:I1263" si="185">"On"</f>
        <v>On</v>
      </c>
      <c r="C1263" t="str">
        <f t="shared" si="185"/>
        <v>On</v>
      </c>
      <c r="D1263" t="str">
        <f t="shared" si="185"/>
        <v>On</v>
      </c>
      <c r="E1263" t="str">
        <f t="shared" si="185"/>
        <v>On</v>
      </c>
      <c r="F1263" t="str">
        <f t="shared" si="185"/>
        <v>On</v>
      </c>
      <c r="G1263" t="str">
        <f t="shared" si="185"/>
        <v>On</v>
      </c>
      <c r="H1263" t="str">
        <f t="shared" si="185"/>
        <v>On</v>
      </c>
      <c r="I1263" t="str">
        <f t="shared" si="185"/>
        <v>On</v>
      </c>
      <c r="J1263" t="str">
        <f t="shared" ref="J1263:S1264" si="186">"Off"</f>
        <v>Off</v>
      </c>
      <c r="K1263" t="str">
        <f t="shared" si="186"/>
        <v>Off</v>
      </c>
      <c r="L1263" t="str">
        <f t="shared" si="186"/>
        <v>Off</v>
      </c>
      <c r="M1263" t="str">
        <f t="shared" si="186"/>
        <v>Off</v>
      </c>
      <c r="N1263" t="str">
        <f t="shared" si="186"/>
        <v>Off</v>
      </c>
      <c r="O1263" t="str">
        <f t="shared" si="186"/>
        <v>Off</v>
      </c>
      <c r="P1263" t="str">
        <f t="shared" si="186"/>
        <v>Off</v>
      </c>
      <c r="Q1263" t="str">
        <f t="shared" si="186"/>
        <v>Off</v>
      </c>
      <c r="R1263" t="str">
        <f t="shared" si="186"/>
        <v>Off</v>
      </c>
      <c r="S1263" t="str">
        <f t="shared" si="186"/>
        <v>Off</v>
      </c>
      <c r="T1263" t="str">
        <f t="shared" ref="T1263:AC1264" si="187">"Off"</f>
        <v>Off</v>
      </c>
      <c r="U1263" t="str">
        <f t="shared" si="187"/>
        <v>Off</v>
      </c>
      <c r="V1263" t="str">
        <f t="shared" si="187"/>
        <v>Off</v>
      </c>
      <c r="W1263" t="str">
        <f t="shared" si="187"/>
        <v>Off</v>
      </c>
      <c r="X1263" t="str">
        <f t="shared" si="187"/>
        <v>Off</v>
      </c>
      <c r="Y1263" t="str">
        <f t="shared" si="187"/>
        <v>Off</v>
      </c>
      <c r="Z1263" t="str">
        <f t="shared" si="187"/>
        <v>Off</v>
      </c>
      <c r="AA1263" t="str">
        <f t="shared" si="187"/>
        <v>Off</v>
      </c>
      <c r="AB1263" t="str">
        <f t="shared" si="187"/>
        <v>Off</v>
      </c>
      <c r="AC1263" t="str">
        <f t="shared" si="187"/>
        <v>Off</v>
      </c>
      <c r="AD1263" t="str">
        <f t="shared" ref="AD1263:AM1264" si="188">"Off"</f>
        <v>Off</v>
      </c>
      <c r="AE1263" t="str">
        <f t="shared" si="188"/>
        <v>Off</v>
      </c>
      <c r="AF1263" t="str">
        <f t="shared" si="188"/>
        <v>Off</v>
      </c>
      <c r="AG1263" t="str">
        <f t="shared" si="188"/>
        <v>Off</v>
      </c>
      <c r="AH1263" t="str">
        <f t="shared" si="188"/>
        <v>Off</v>
      </c>
      <c r="AI1263" t="str">
        <f t="shared" si="188"/>
        <v>Off</v>
      </c>
      <c r="AJ1263" t="str">
        <f t="shared" si="188"/>
        <v>Off</v>
      </c>
      <c r="AK1263" t="str">
        <f t="shared" si="188"/>
        <v>Off</v>
      </c>
      <c r="AL1263" t="str">
        <f t="shared" si="188"/>
        <v>Off</v>
      </c>
      <c r="AM1263" t="str">
        <f t="shared" si="188"/>
        <v>Off</v>
      </c>
      <c r="AN1263" t="str">
        <f t="shared" ref="AN1263:AW1264" si="189">"Off"</f>
        <v>Off</v>
      </c>
      <c r="AO1263" t="str">
        <f t="shared" si="189"/>
        <v>Off</v>
      </c>
      <c r="AP1263" t="str">
        <f t="shared" si="189"/>
        <v>Off</v>
      </c>
      <c r="AQ1263" t="str">
        <f t="shared" si="189"/>
        <v>Off</v>
      </c>
      <c r="AR1263" t="str">
        <f t="shared" si="189"/>
        <v>Off</v>
      </c>
      <c r="AS1263" t="str">
        <f t="shared" si="189"/>
        <v>Off</v>
      </c>
      <c r="AT1263" t="str">
        <f t="shared" si="189"/>
        <v>Off</v>
      </c>
      <c r="AU1263" t="str">
        <f t="shared" si="189"/>
        <v>Off</v>
      </c>
      <c r="AV1263" t="str">
        <f t="shared" si="189"/>
        <v>Off</v>
      </c>
      <c r="AW1263" t="str">
        <f t="shared" si="189"/>
        <v>Off</v>
      </c>
    </row>
    <row r="1264" spans="1:49">
      <c r="A1264" t="s">
        <v>2412</v>
      </c>
      <c r="B1264" t="str">
        <f t="shared" ref="B1264:I1264" si="190">"Off"</f>
        <v>Off</v>
      </c>
      <c r="C1264" t="str">
        <f t="shared" si="190"/>
        <v>Off</v>
      </c>
      <c r="D1264" t="str">
        <f t="shared" si="190"/>
        <v>Off</v>
      </c>
      <c r="E1264" t="str">
        <f t="shared" si="190"/>
        <v>Off</v>
      </c>
      <c r="F1264" t="str">
        <f t="shared" si="190"/>
        <v>Off</v>
      </c>
      <c r="G1264" t="str">
        <f t="shared" si="190"/>
        <v>Off</v>
      </c>
      <c r="H1264" t="str">
        <f t="shared" si="190"/>
        <v>Off</v>
      </c>
      <c r="I1264" t="str">
        <f t="shared" si="190"/>
        <v>Off</v>
      </c>
      <c r="J1264" t="str">
        <f t="shared" si="186"/>
        <v>Off</v>
      </c>
      <c r="K1264" t="str">
        <f t="shared" si="186"/>
        <v>Off</v>
      </c>
      <c r="L1264" t="str">
        <f t="shared" si="186"/>
        <v>Off</v>
      </c>
      <c r="M1264" t="str">
        <f t="shared" si="186"/>
        <v>Off</v>
      </c>
      <c r="N1264" t="str">
        <f t="shared" si="186"/>
        <v>Off</v>
      </c>
      <c r="O1264" t="str">
        <f t="shared" si="186"/>
        <v>Off</v>
      </c>
      <c r="P1264" t="str">
        <f t="shared" si="186"/>
        <v>Off</v>
      </c>
      <c r="Q1264" t="str">
        <f t="shared" si="186"/>
        <v>Off</v>
      </c>
      <c r="R1264" t="str">
        <f t="shared" si="186"/>
        <v>Off</v>
      </c>
      <c r="S1264" t="str">
        <f t="shared" si="186"/>
        <v>Off</v>
      </c>
      <c r="T1264" t="str">
        <f t="shared" si="187"/>
        <v>Off</v>
      </c>
      <c r="U1264" t="str">
        <f t="shared" si="187"/>
        <v>Off</v>
      </c>
      <c r="V1264" t="str">
        <f t="shared" si="187"/>
        <v>Off</v>
      </c>
      <c r="W1264" t="str">
        <f t="shared" si="187"/>
        <v>Off</v>
      </c>
      <c r="X1264" t="str">
        <f t="shared" si="187"/>
        <v>Off</v>
      </c>
      <c r="Y1264" t="str">
        <f t="shared" si="187"/>
        <v>Off</v>
      </c>
      <c r="Z1264" t="str">
        <f t="shared" si="187"/>
        <v>Off</v>
      </c>
      <c r="AA1264" t="str">
        <f t="shared" si="187"/>
        <v>Off</v>
      </c>
      <c r="AB1264" t="str">
        <f t="shared" si="187"/>
        <v>Off</v>
      </c>
      <c r="AC1264" t="str">
        <f t="shared" si="187"/>
        <v>Off</v>
      </c>
      <c r="AD1264" t="str">
        <f t="shared" si="188"/>
        <v>Off</v>
      </c>
      <c r="AE1264" t="str">
        <f t="shared" si="188"/>
        <v>Off</v>
      </c>
      <c r="AF1264" t="str">
        <f t="shared" si="188"/>
        <v>Off</v>
      </c>
      <c r="AG1264" t="str">
        <f t="shared" si="188"/>
        <v>Off</v>
      </c>
      <c r="AH1264" t="str">
        <f t="shared" si="188"/>
        <v>Off</v>
      </c>
      <c r="AI1264" t="str">
        <f t="shared" si="188"/>
        <v>Off</v>
      </c>
      <c r="AJ1264" t="str">
        <f t="shared" si="188"/>
        <v>Off</v>
      </c>
      <c r="AK1264" t="str">
        <f t="shared" si="188"/>
        <v>Off</v>
      </c>
      <c r="AL1264" t="str">
        <f t="shared" si="188"/>
        <v>Off</v>
      </c>
      <c r="AM1264" t="str">
        <f t="shared" si="188"/>
        <v>Off</v>
      </c>
      <c r="AN1264" t="str">
        <f t="shared" si="189"/>
        <v>Off</v>
      </c>
      <c r="AO1264" t="str">
        <f t="shared" si="189"/>
        <v>Off</v>
      </c>
      <c r="AP1264" t="str">
        <f t="shared" si="189"/>
        <v>Off</v>
      </c>
      <c r="AQ1264" t="str">
        <f t="shared" si="189"/>
        <v>Off</v>
      </c>
      <c r="AR1264" t="str">
        <f t="shared" si="189"/>
        <v>Off</v>
      </c>
      <c r="AS1264" t="str">
        <f t="shared" si="189"/>
        <v>Off</v>
      </c>
      <c r="AT1264" t="str">
        <f t="shared" si="189"/>
        <v>Off</v>
      </c>
      <c r="AU1264" t="str">
        <f t="shared" si="189"/>
        <v>Off</v>
      </c>
      <c r="AV1264" t="str">
        <f t="shared" si="189"/>
        <v>Off</v>
      </c>
      <c r="AW1264" t="str">
        <f t="shared" si="189"/>
        <v>Off</v>
      </c>
    </row>
    <row r="1265" spans="1:49">
      <c r="A1265" t="s">
        <v>2413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</row>
    <row r="1266" spans="1:49">
      <c r="A1266" t="s">
        <v>2414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</row>
    <row r="1267" spans="1:49">
      <c r="A1267" t="s">
        <v>2415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</row>
    <row r="1268" spans="1:49">
      <c r="A1268" t="s">
        <v>2416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</row>
    <row r="1269" spans="1:49">
      <c r="A1269" t="s">
        <v>16</v>
      </c>
      <c r="B1269" t="str">
        <f t="shared" ref="B1269:K1269" si="191">"EndGRN"</f>
        <v>EndGRN</v>
      </c>
      <c r="C1269" t="str">
        <f t="shared" si="191"/>
        <v>EndGRN</v>
      </c>
      <c r="D1269" t="str">
        <f t="shared" si="191"/>
        <v>EndGRN</v>
      </c>
      <c r="E1269" t="str">
        <f t="shared" si="191"/>
        <v>EndGRN</v>
      </c>
      <c r="F1269" t="str">
        <f t="shared" si="191"/>
        <v>EndGRN</v>
      </c>
      <c r="G1269" t="str">
        <f t="shared" si="191"/>
        <v>EndGRN</v>
      </c>
      <c r="H1269" t="str">
        <f t="shared" si="191"/>
        <v>EndGRN</v>
      </c>
      <c r="I1269" t="str">
        <f t="shared" si="191"/>
        <v>EndGRN</v>
      </c>
      <c r="J1269" t="str">
        <f t="shared" si="191"/>
        <v>EndGRN</v>
      </c>
      <c r="K1269" t="str">
        <f t="shared" si="191"/>
        <v>EndGRN</v>
      </c>
      <c r="L1269" t="str">
        <f t="shared" ref="L1269:AW1269" si="192">"BegGRN"</f>
        <v>BegGRN</v>
      </c>
      <c r="M1269" t="str">
        <f t="shared" si="192"/>
        <v>BegGRN</v>
      </c>
      <c r="N1269" t="str">
        <f t="shared" si="192"/>
        <v>BegGRN</v>
      </c>
      <c r="O1269" t="str">
        <f t="shared" si="192"/>
        <v>BegGRN</v>
      </c>
      <c r="P1269" t="str">
        <f t="shared" si="192"/>
        <v>BegGRN</v>
      </c>
      <c r="Q1269" t="str">
        <f t="shared" si="192"/>
        <v>BegGRN</v>
      </c>
      <c r="R1269" t="str">
        <f t="shared" si="192"/>
        <v>BegGRN</v>
      </c>
      <c r="S1269" t="str">
        <f t="shared" si="192"/>
        <v>BegGRN</v>
      </c>
      <c r="T1269" t="str">
        <f t="shared" si="192"/>
        <v>BegGRN</v>
      </c>
      <c r="U1269" t="str">
        <f t="shared" si="192"/>
        <v>BegGRN</v>
      </c>
      <c r="V1269" t="str">
        <f t="shared" si="192"/>
        <v>BegGRN</v>
      </c>
      <c r="W1269" t="str">
        <f t="shared" si="192"/>
        <v>BegGRN</v>
      </c>
      <c r="X1269" t="str">
        <f t="shared" si="192"/>
        <v>BegGRN</v>
      </c>
      <c r="Y1269" t="str">
        <f t="shared" si="192"/>
        <v>BegGRN</v>
      </c>
      <c r="Z1269" t="str">
        <f t="shared" si="192"/>
        <v>BegGRN</v>
      </c>
      <c r="AA1269" t="str">
        <f t="shared" si="192"/>
        <v>BegGRN</v>
      </c>
      <c r="AB1269" t="str">
        <f t="shared" si="192"/>
        <v>BegGRN</v>
      </c>
      <c r="AC1269" t="str">
        <f t="shared" si="192"/>
        <v>BegGRN</v>
      </c>
      <c r="AD1269" t="str">
        <f t="shared" si="192"/>
        <v>BegGRN</v>
      </c>
      <c r="AE1269" t="str">
        <f t="shared" si="192"/>
        <v>BegGRN</v>
      </c>
      <c r="AF1269" t="str">
        <f t="shared" si="192"/>
        <v>BegGRN</v>
      </c>
      <c r="AG1269" t="str">
        <f t="shared" si="192"/>
        <v>BegGRN</v>
      </c>
      <c r="AH1269" t="str">
        <f t="shared" si="192"/>
        <v>BegGRN</v>
      </c>
      <c r="AI1269" t="str">
        <f t="shared" si="192"/>
        <v>BegGRN</v>
      </c>
      <c r="AJ1269" t="str">
        <f t="shared" si="192"/>
        <v>BegGRN</v>
      </c>
      <c r="AK1269" t="str">
        <f t="shared" si="192"/>
        <v>BegGRN</v>
      </c>
      <c r="AL1269" t="str">
        <f t="shared" si="192"/>
        <v>BegGRN</v>
      </c>
      <c r="AM1269" t="str">
        <f t="shared" si="192"/>
        <v>BegGRN</v>
      </c>
      <c r="AN1269" t="str">
        <f t="shared" si="192"/>
        <v>BegGRN</v>
      </c>
      <c r="AO1269" t="str">
        <f t="shared" si="192"/>
        <v>BegGRN</v>
      </c>
      <c r="AP1269" t="str">
        <f t="shared" si="192"/>
        <v>BegGRN</v>
      </c>
      <c r="AQ1269" t="str">
        <f t="shared" si="192"/>
        <v>BegGRN</v>
      </c>
      <c r="AR1269" t="str">
        <f t="shared" si="192"/>
        <v>BegGRN</v>
      </c>
      <c r="AS1269" t="str">
        <f t="shared" si="192"/>
        <v>BegGRN</v>
      </c>
      <c r="AT1269" t="str">
        <f t="shared" si="192"/>
        <v>BegGRN</v>
      </c>
      <c r="AU1269" t="str">
        <f t="shared" si="192"/>
        <v>BegGRN</v>
      </c>
      <c r="AV1269" t="str">
        <f t="shared" si="192"/>
        <v>BegGRN</v>
      </c>
      <c r="AW1269" t="str">
        <f t="shared" si="192"/>
        <v>BegGRN</v>
      </c>
    </row>
    <row r="1270" spans="1:49">
      <c r="A1270" t="s">
        <v>2417</v>
      </c>
      <c r="B1270" t="str">
        <f t="shared" ref="B1270:K1277" si="193">"Off"</f>
        <v>Off</v>
      </c>
      <c r="C1270" t="str">
        <f t="shared" si="193"/>
        <v>Off</v>
      </c>
      <c r="D1270" t="str">
        <f t="shared" si="193"/>
        <v>Off</v>
      </c>
      <c r="E1270" t="str">
        <f t="shared" si="193"/>
        <v>Off</v>
      </c>
      <c r="F1270" t="str">
        <f t="shared" si="193"/>
        <v>Off</v>
      </c>
      <c r="G1270" t="str">
        <f t="shared" si="193"/>
        <v>Off</v>
      </c>
      <c r="H1270" t="str">
        <f t="shared" si="193"/>
        <v>Off</v>
      </c>
      <c r="I1270" t="str">
        <f t="shared" si="193"/>
        <v>Off</v>
      </c>
      <c r="J1270" t="str">
        <f t="shared" si="193"/>
        <v>Off</v>
      </c>
      <c r="K1270" t="str">
        <f t="shared" si="193"/>
        <v>Off</v>
      </c>
      <c r="L1270" t="str">
        <f t="shared" ref="L1270:U1277" si="194">"Off"</f>
        <v>Off</v>
      </c>
      <c r="M1270" t="str">
        <f t="shared" si="194"/>
        <v>Off</v>
      </c>
      <c r="N1270" t="str">
        <f t="shared" si="194"/>
        <v>Off</v>
      </c>
      <c r="O1270" t="str">
        <f t="shared" si="194"/>
        <v>Off</v>
      </c>
      <c r="P1270" t="str">
        <f t="shared" si="194"/>
        <v>Off</v>
      </c>
      <c r="Q1270" t="str">
        <f t="shared" si="194"/>
        <v>Off</v>
      </c>
      <c r="R1270" t="str">
        <f t="shared" si="194"/>
        <v>Off</v>
      </c>
      <c r="S1270" t="str">
        <f t="shared" si="194"/>
        <v>Off</v>
      </c>
      <c r="T1270" t="str">
        <f t="shared" si="194"/>
        <v>Off</v>
      </c>
      <c r="U1270" t="str">
        <f t="shared" si="194"/>
        <v>Off</v>
      </c>
      <c r="V1270" t="str">
        <f t="shared" ref="V1270:AE1277" si="195">"Off"</f>
        <v>Off</v>
      </c>
      <c r="W1270" t="str">
        <f t="shared" si="195"/>
        <v>Off</v>
      </c>
      <c r="X1270" t="str">
        <f t="shared" si="195"/>
        <v>Off</v>
      </c>
      <c r="Y1270" t="str">
        <f t="shared" si="195"/>
        <v>Off</v>
      </c>
      <c r="Z1270" t="str">
        <f t="shared" si="195"/>
        <v>Off</v>
      </c>
      <c r="AA1270" t="str">
        <f t="shared" si="195"/>
        <v>Off</v>
      </c>
      <c r="AB1270" t="str">
        <f t="shared" si="195"/>
        <v>Off</v>
      </c>
      <c r="AC1270" t="str">
        <f t="shared" si="195"/>
        <v>Off</v>
      </c>
      <c r="AD1270" t="str">
        <f t="shared" si="195"/>
        <v>Off</v>
      </c>
      <c r="AE1270" t="str">
        <f t="shared" si="195"/>
        <v>Off</v>
      </c>
      <c r="AF1270" t="str">
        <f t="shared" ref="AF1270:AO1277" si="196">"Off"</f>
        <v>Off</v>
      </c>
      <c r="AG1270" t="str">
        <f t="shared" si="196"/>
        <v>Off</v>
      </c>
      <c r="AH1270" t="str">
        <f t="shared" si="196"/>
        <v>Off</v>
      </c>
      <c r="AI1270" t="str">
        <f t="shared" si="196"/>
        <v>Off</v>
      </c>
      <c r="AJ1270" t="str">
        <f t="shared" si="196"/>
        <v>Off</v>
      </c>
      <c r="AK1270" t="str">
        <f t="shared" si="196"/>
        <v>Off</v>
      </c>
      <c r="AL1270" t="str">
        <f t="shared" si="196"/>
        <v>Off</v>
      </c>
      <c r="AM1270" t="str">
        <f t="shared" si="196"/>
        <v>Off</v>
      </c>
      <c r="AN1270" t="str">
        <f t="shared" si="196"/>
        <v>Off</v>
      </c>
      <c r="AO1270" t="str">
        <f t="shared" si="196"/>
        <v>Off</v>
      </c>
      <c r="AP1270" t="str">
        <f t="shared" ref="AP1270:AW1277" si="197">"Off"</f>
        <v>Off</v>
      </c>
      <c r="AQ1270" t="str">
        <f t="shared" si="197"/>
        <v>Off</v>
      </c>
      <c r="AR1270" t="str">
        <f t="shared" si="197"/>
        <v>Off</v>
      </c>
      <c r="AS1270" t="str">
        <f t="shared" si="197"/>
        <v>Off</v>
      </c>
      <c r="AT1270" t="str">
        <f t="shared" si="197"/>
        <v>Off</v>
      </c>
      <c r="AU1270" t="str">
        <f t="shared" si="197"/>
        <v>Off</v>
      </c>
      <c r="AV1270" t="str">
        <f t="shared" si="197"/>
        <v>Off</v>
      </c>
      <c r="AW1270" t="str">
        <f t="shared" si="197"/>
        <v>Off</v>
      </c>
    </row>
    <row r="1271" spans="1:49">
      <c r="A1271" t="s">
        <v>2418</v>
      </c>
      <c r="B1271" t="str">
        <f t="shared" si="193"/>
        <v>Off</v>
      </c>
      <c r="C1271" t="str">
        <f t="shared" si="193"/>
        <v>Off</v>
      </c>
      <c r="D1271" t="str">
        <f t="shared" si="193"/>
        <v>Off</v>
      </c>
      <c r="E1271" t="str">
        <f t="shared" si="193"/>
        <v>Off</v>
      </c>
      <c r="F1271" t="str">
        <f t="shared" si="193"/>
        <v>Off</v>
      </c>
      <c r="G1271" t="str">
        <f t="shared" si="193"/>
        <v>Off</v>
      </c>
      <c r="H1271" t="str">
        <f t="shared" si="193"/>
        <v>Off</v>
      </c>
      <c r="I1271" t="str">
        <f t="shared" si="193"/>
        <v>Off</v>
      </c>
      <c r="J1271" t="str">
        <f t="shared" si="193"/>
        <v>Off</v>
      </c>
      <c r="K1271" t="str">
        <f t="shared" si="193"/>
        <v>Off</v>
      </c>
      <c r="L1271" t="str">
        <f t="shared" si="194"/>
        <v>Off</v>
      </c>
      <c r="M1271" t="str">
        <f t="shared" si="194"/>
        <v>Off</v>
      </c>
      <c r="N1271" t="str">
        <f t="shared" si="194"/>
        <v>Off</v>
      </c>
      <c r="O1271" t="str">
        <f t="shared" si="194"/>
        <v>Off</v>
      </c>
      <c r="P1271" t="str">
        <f t="shared" si="194"/>
        <v>Off</v>
      </c>
      <c r="Q1271" t="str">
        <f t="shared" si="194"/>
        <v>Off</v>
      </c>
      <c r="R1271" t="str">
        <f t="shared" si="194"/>
        <v>Off</v>
      </c>
      <c r="S1271" t="str">
        <f t="shared" si="194"/>
        <v>Off</v>
      </c>
      <c r="T1271" t="str">
        <f t="shared" si="194"/>
        <v>Off</v>
      </c>
      <c r="U1271" t="str">
        <f t="shared" si="194"/>
        <v>Off</v>
      </c>
      <c r="V1271" t="str">
        <f t="shared" si="195"/>
        <v>Off</v>
      </c>
      <c r="W1271" t="str">
        <f t="shared" si="195"/>
        <v>Off</v>
      </c>
      <c r="X1271" t="str">
        <f t="shared" si="195"/>
        <v>Off</v>
      </c>
      <c r="Y1271" t="str">
        <f t="shared" si="195"/>
        <v>Off</v>
      </c>
      <c r="Z1271" t="str">
        <f t="shared" si="195"/>
        <v>Off</v>
      </c>
      <c r="AA1271" t="str">
        <f t="shared" si="195"/>
        <v>Off</v>
      </c>
      <c r="AB1271" t="str">
        <f t="shared" si="195"/>
        <v>Off</v>
      </c>
      <c r="AC1271" t="str">
        <f t="shared" si="195"/>
        <v>Off</v>
      </c>
      <c r="AD1271" t="str">
        <f t="shared" si="195"/>
        <v>Off</v>
      </c>
      <c r="AE1271" t="str">
        <f t="shared" si="195"/>
        <v>Off</v>
      </c>
      <c r="AF1271" t="str">
        <f t="shared" si="196"/>
        <v>Off</v>
      </c>
      <c r="AG1271" t="str">
        <f t="shared" si="196"/>
        <v>Off</v>
      </c>
      <c r="AH1271" t="str">
        <f t="shared" si="196"/>
        <v>Off</v>
      </c>
      <c r="AI1271" t="str">
        <f t="shared" si="196"/>
        <v>Off</v>
      </c>
      <c r="AJ1271" t="str">
        <f t="shared" si="196"/>
        <v>Off</v>
      </c>
      <c r="AK1271" t="str">
        <f t="shared" si="196"/>
        <v>Off</v>
      </c>
      <c r="AL1271" t="str">
        <f t="shared" si="196"/>
        <v>Off</v>
      </c>
      <c r="AM1271" t="str">
        <f t="shared" si="196"/>
        <v>Off</v>
      </c>
      <c r="AN1271" t="str">
        <f t="shared" si="196"/>
        <v>Off</v>
      </c>
      <c r="AO1271" t="str">
        <f t="shared" si="196"/>
        <v>Off</v>
      </c>
      <c r="AP1271" t="str">
        <f t="shared" si="197"/>
        <v>Off</v>
      </c>
      <c r="AQ1271" t="str">
        <f t="shared" si="197"/>
        <v>Off</v>
      </c>
      <c r="AR1271" t="str">
        <f t="shared" si="197"/>
        <v>Off</v>
      </c>
      <c r="AS1271" t="str">
        <f t="shared" si="197"/>
        <v>Off</v>
      </c>
      <c r="AT1271" t="str">
        <f t="shared" si="197"/>
        <v>Off</v>
      </c>
      <c r="AU1271" t="str">
        <f t="shared" si="197"/>
        <v>Off</v>
      </c>
      <c r="AV1271" t="str">
        <f t="shared" si="197"/>
        <v>Off</v>
      </c>
      <c r="AW1271" t="str">
        <f t="shared" si="197"/>
        <v>Off</v>
      </c>
    </row>
    <row r="1272" spans="1:49">
      <c r="A1272" t="s">
        <v>2419</v>
      </c>
      <c r="B1272" t="str">
        <f t="shared" si="193"/>
        <v>Off</v>
      </c>
      <c r="C1272" t="str">
        <f t="shared" si="193"/>
        <v>Off</v>
      </c>
      <c r="D1272" t="str">
        <f t="shared" si="193"/>
        <v>Off</v>
      </c>
      <c r="E1272" t="str">
        <f t="shared" si="193"/>
        <v>Off</v>
      </c>
      <c r="F1272" t="str">
        <f t="shared" si="193"/>
        <v>Off</v>
      </c>
      <c r="G1272" t="str">
        <f t="shared" si="193"/>
        <v>Off</v>
      </c>
      <c r="H1272" t="str">
        <f t="shared" si="193"/>
        <v>Off</v>
      </c>
      <c r="I1272" t="str">
        <f t="shared" si="193"/>
        <v>Off</v>
      </c>
      <c r="J1272" t="str">
        <f t="shared" si="193"/>
        <v>Off</v>
      </c>
      <c r="K1272" t="str">
        <f t="shared" si="193"/>
        <v>Off</v>
      </c>
      <c r="L1272" t="str">
        <f t="shared" si="194"/>
        <v>Off</v>
      </c>
      <c r="M1272" t="str">
        <f t="shared" si="194"/>
        <v>Off</v>
      </c>
      <c r="N1272" t="str">
        <f t="shared" si="194"/>
        <v>Off</v>
      </c>
      <c r="O1272" t="str">
        <f t="shared" si="194"/>
        <v>Off</v>
      </c>
      <c r="P1272" t="str">
        <f t="shared" si="194"/>
        <v>Off</v>
      </c>
      <c r="Q1272" t="str">
        <f t="shared" si="194"/>
        <v>Off</v>
      </c>
      <c r="R1272" t="str">
        <f t="shared" si="194"/>
        <v>Off</v>
      </c>
      <c r="S1272" t="str">
        <f t="shared" si="194"/>
        <v>Off</v>
      </c>
      <c r="T1272" t="str">
        <f t="shared" si="194"/>
        <v>Off</v>
      </c>
      <c r="U1272" t="str">
        <f t="shared" si="194"/>
        <v>Off</v>
      </c>
      <c r="V1272" t="str">
        <f t="shared" si="195"/>
        <v>Off</v>
      </c>
      <c r="W1272" t="str">
        <f t="shared" si="195"/>
        <v>Off</v>
      </c>
      <c r="X1272" t="str">
        <f t="shared" si="195"/>
        <v>Off</v>
      </c>
      <c r="Y1272" t="str">
        <f t="shared" si="195"/>
        <v>Off</v>
      </c>
      <c r="Z1272" t="str">
        <f t="shared" si="195"/>
        <v>Off</v>
      </c>
      <c r="AA1272" t="str">
        <f t="shared" si="195"/>
        <v>Off</v>
      </c>
      <c r="AB1272" t="str">
        <f t="shared" si="195"/>
        <v>Off</v>
      </c>
      <c r="AC1272" t="str">
        <f t="shared" si="195"/>
        <v>Off</v>
      </c>
      <c r="AD1272" t="str">
        <f t="shared" si="195"/>
        <v>Off</v>
      </c>
      <c r="AE1272" t="str">
        <f t="shared" si="195"/>
        <v>Off</v>
      </c>
      <c r="AF1272" t="str">
        <f t="shared" si="196"/>
        <v>Off</v>
      </c>
      <c r="AG1272" t="str">
        <f t="shared" si="196"/>
        <v>Off</v>
      </c>
      <c r="AH1272" t="str">
        <f t="shared" si="196"/>
        <v>Off</v>
      </c>
      <c r="AI1272" t="str">
        <f t="shared" si="196"/>
        <v>Off</v>
      </c>
      <c r="AJ1272" t="str">
        <f t="shared" si="196"/>
        <v>Off</v>
      </c>
      <c r="AK1272" t="str">
        <f t="shared" si="196"/>
        <v>Off</v>
      </c>
      <c r="AL1272" t="str">
        <f t="shared" si="196"/>
        <v>Off</v>
      </c>
      <c r="AM1272" t="str">
        <f t="shared" si="196"/>
        <v>Off</v>
      </c>
      <c r="AN1272" t="str">
        <f t="shared" si="196"/>
        <v>Off</v>
      </c>
      <c r="AO1272" t="str">
        <f t="shared" si="196"/>
        <v>Off</v>
      </c>
      <c r="AP1272" t="str">
        <f t="shared" si="197"/>
        <v>Off</v>
      </c>
      <c r="AQ1272" t="str">
        <f t="shared" si="197"/>
        <v>Off</v>
      </c>
      <c r="AR1272" t="str">
        <f t="shared" si="197"/>
        <v>Off</v>
      </c>
      <c r="AS1272" t="str">
        <f t="shared" si="197"/>
        <v>Off</v>
      </c>
      <c r="AT1272" t="str">
        <f t="shared" si="197"/>
        <v>Off</v>
      </c>
      <c r="AU1272" t="str">
        <f t="shared" si="197"/>
        <v>Off</v>
      </c>
      <c r="AV1272" t="str">
        <f t="shared" si="197"/>
        <v>Off</v>
      </c>
      <c r="AW1272" t="str">
        <f t="shared" si="197"/>
        <v>Off</v>
      </c>
    </row>
    <row r="1273" spans="1:49">
      <c r="A1273" t="s">
        <v>2420</v>
      </c>
      <c r="B1273" t="str">
        <f t="shared" si="193"/>
        <v>Off</v>
      </c>
      <c r="C1273" t="str">
        <f t="shared" si="193"/>
        <v>Off</v>
      </c>
      <c r="D1273" t="str">
        <f t="shared" si="193"/>
        <v>Off</v>
      </c>
      <c r="E1273" t="str">
        <f t="shared" si="193"/>
        <v>Off</v>
      </c>
      <c r="F1273" t="str">
        <f t="shared" si="193"/>
        <v>Off</v>
      </c>
      <c r="G1273" t="str">
        <f t="shared" si="193"/>
        <v>Off</v>
      </c>
      <c r="H1273" t="str">
        <f t="shared" si="193"/>
        <v>Off</v>
      </c>
      <c r="I1273" t="str">
        <f t="shared" si="193"/>
        <v>Off</v>
      </c>
      <c r="J1273" t="str">
        <f t="shared" si="193"/>
        <v>Off</v>
      </c>
      <c r="K1273" t="str">
        <f t="shared" si="193"/>
        <v>Off</v>
      </c>
      <c r="L1273" t="str">
        <f t="shared" si="194"/>
        <v>Off</v>
      </c>
      <c r="M1273" t="str">
        <f t="shared" si="194"/>
        <v>Off</v>
      </c>
      <c r="N1273" t="str">
        <f t="shared" si="194"/>
        <v>Off</v>
      </c>
      <c r="O1273" t="str">
        <f t="shared" si="194"/>
        <v>Off</v>
      </c>
      <c r="P1273" t="str">
        <f t="shared" si="194"/>
        <v>Off</v>
      </c>
      <c r="Q1273" t="str">
        <f t="shared" si="194"/>
        <v>Off</v>
      </c>
      <c r="R1273" t="str">
        <f t="shared" si="194"/>
        <v>Off</v>
      </c>
      <c r="S1273" t="str">
        <f t="shared" si="194"/>
        <v>Off</v>
      </c>
      <c r="T1273" t="str">
        <f t="shared" si="194"/>
        <v>Off</v>
      </c>
      <c r="U1273" t="str">
        <f t="shared" si="194"/>
        <v>Off</v>
      </c>
      <c r="V1273" t="str">
        <f t="shared" si="195"/>
        <v>Off</v>
      </c>
      <c r="W1273" t="str">
        <f t="shared" si="195"/>
        <v>Off</v>
      </c>
      <c r="X1273" t="str">
        <f t="shared" si="195"/>
        <v>Off</v>
      </c>
      <c r="Y1273" t="str">
        <f t="shared" si="195"/>
        <v>Off</v>
      </c>
      <c r="Z1273" t="str">
        <f t="shared" si="195"/>
        <v>Off</v>
      </c>
      <c r="AA1273" t="str">
        <f t="shared" si="195"/>
        <v>Off</v>
      </c>
      <c r="AB1273" t="str">
        <f t="shared" si="195"/>
        <v>Off</v>
      </c>
      <c r="AC1273" t="str">
        <f t="shared" si="195"/>
        <v>Off</v>
      </c>
      <c r="AD1273" t="str">
        <f t="shared" si="195"/>
        <v>Off</v>
      </c>
      <c r="AE1273" t="str">
        <f t="shared" si="195"/>
        <v>Off</v>
      </c>
      <c r="AF1273" t="str">
        <f t="shared" si="196"/>
        <v>Off</v>
      </c>
      <c r="AG1273" t="str">
        <f t="shared" si="196"/>
        <v>Off</v>
      </c>
      <c r="AH1273" t="str">
        <f t="shared" si="196"/>
        <v>Off</v>
      </c>
      <c r="AI1273" t="str">
        <f t="shared" si="196"/>
        <v>Off</v>
      </c>
      <c r="AJ1273" t="str">
        <f t="shared" si="196"/>
        <v>Off</v>
      </c>
      <c r="AK1273" t="str">
        <f t="shared" si="196"/>
        <v>Off</v>
      </c>
      <c r="AL1273" t="str">
        <f t="shared" si="196"/>
        <v>Off</v>
      </c>
      <c r="AM1273" t="str">
        <f t="shared" si="196"/>
        <v>Off</v>
      </c>
      <c r="AN1273" t="str">
        <f t="shared" si="196"/>
        <v>Off</v>
      </c>
      <c r="AO1273" t="str">
        <f t="shared" si="196"/>
        <v>Off</v>
      </c>
      <c r="AP1273" t="str">
        <f t="shared" si="197"/>
        <v>Off</v>
      </c>
      <c r="AQ1273" t="str">
        <f t="shared" si="197"/>
        <v>Off</v>
      </c>
      <c r="AR1273" t="str">
        <f t="shared" si="197"/>
        <v>Off</v>
      </c>
      <c r="AS1273" t="str">
        <f t="shared" si="197"/>
        <v>Off</v>
      </c>
      <c r="AT1273" t="str">
        <f t="shared" si="197"/>
        <v>Off</v>
      </c>
      <c r="AU1273" t="str">
        <f t="shared" si="197"/>
        <v>Off</v>
      </c>
      <c r="AV1273" t="str">
        <f t="shared" si="197"/>
        <v>Off</v>
      </c>
      <c r="AW1273" t="str">
        <f t="shared" si="197"/>
        <v>Off</v>
      </c>
    </row>
    <row r="1274" spans="1:49">
      <c r="A1274" t="s">
        <v>2421</v>
      </c>
      <c r="B1274" t="str">
        <f t="shared" si="193"/>
        <v>Off</v>
      </c>
      <c r="C1274" t="str">
        <f t="shared" si="193"/>
        <v>Off</v>
      </c>
      <c r="D1274" t="str">
        <f t="shared" si="193"/>
        <v>Off</v>
      </c>
      <c r="E1274" t="str">
        <f t="shared" si="193"/>
        <v>Off</v>
      </c>
      <c r="F1274" t="str">
        <f t="shared" si="193"/>
        <v>Off</v>
      </c>
      <c r="G1274" t="str">
        <f t="shared" si="193"/>
        <v>Off</v>
      </c>
      <c r="H1274" t="str">
        <f t="shared" si="193"/>
        <v>Off</v>
      </c>
      <c r="I1274" t="str">
        <f t="shared" si="193"/>
        <v>Off</v>
      </c>
      <c r="J1274" t="str">
        <f t="shared" si="193"/>
        <v>Off</v>
      </c>
      <c r="K1274" t="str">
        <f t="shared" si="193"/>
        <v>Off</v>
      </c>
      <c r="L1274" t="str">
        <f t="shared" si="194"/>
        <v>Off</v>
      </c>
      <c r="M1274" t="str">
        <f t="shared" si="194"/>
        <v>Off</v>
      </c>
      <c r="N1274" t="str">
        <f t="shared" si="194"/>
        <v>Off</v>
      </c>
      <c r="O1274" t="str">
        <f t="shared" si="194"/>
        <v>Off</v>
      </c>
      <c r="P1274" t="str">
        <f t="shared" si="194"/>
        <v>Off</v>
      </c>
      <c r="Q1274" t="str">
        <f t="shared" si="194"/>
        <v>Off</v>
      </c>
      <c r="R1274" t="str">
        <f t="shared" si="194"/>
        <v>Off</v>
      </c>
      <c r="S1274" t="str">
        <f t="shared" si="194"/>
        <v>Off</v>
      </c>
      <c r="T1274" t="str">
        <f t="shared" si="194"/>
        <v>Off</v>
      </c>
      <c r="U1274" t="str">
        <f t="shared" si="194"/>
        <v>Off</v>
      </c>
      <c r="V1274" t="str">
        <f t="shared" si="195"/>
        <v>Off</v>
      </c>
      <c r="W1274" t="str">
        <f t="shared" si="195"/>
        <v>Off</v>
      </c>
      <c r="X1274" t="str">
        <f t="shared" si="195"/>
        <v>Off</v>
      </c>
      <c r="Y1274" t="str">
        <f t="shared" si="195"/>
        <v>Off</v>
      </c>
      <c r="Z1274" t="str">
        <f t="shared" si="195"/>
        <v>Off</v>
      </c>
      <c r="AA1274" t="str">
        <f t="shared" si="195"/>
        <v>Off</v>
      </c>
      <c r="AB1274" t="str">
        <f t="shared" si="195"/>
        <v>Off</v>
      </c>
      <c r="AC1274" t="str">
        <f t="shared" si="195"/>
        <v>Off</v>
      </c>
      <c r="AD1274" t="str">
        <f t="shared" si="195"/>
        <v>Off</v>
      </c>
      <c r="AE1274" t="str">
        <f t="shared" si="195"/>
        <v>Off</v>
      </c>
      <c r="AF1274" t="str">
        <f t="shared" si="196"/>
        <v>Off</v>
      </c>
      <c r="AG1274" t="str">
        <f t="shared" si="196"/>
        <v>Off</v>
      </c>
      <c r="AH1274" t="str">
        <f t="shared" si="196"/>
        <v>Off</v>
      </c>
      <c r="AI1274" t="str">
        <f t="shared" si="196"/>
        <v>Off</v>
      </c>
      <c r="AJ1274" t="str">
        <f t="shared" si="196"/>
        <v>Off</v>
      </c>
      <c r="AK1274" t="str">
        <f t="shared" si="196"/>
        <v>Off</v>
      </c>
      <c r="AL1274" t="str">
        <f t="shared" si="196"/>
        <v>Off</v>
      </c>
      <c r="AM1274" t="str">
        <f t="shared" si="196"/>
        <v>Off</v>
      </c>
      <c r="AN1274" t="str">
        <f t="shared" si="196"/>
        <v>Off</v>
      </c>
      <c r="AO1274" t="str">
        <f t="shared" si="196"/>
        <v>Off</v>
      </c>
      <c r="AP1274" t="str">
        <f t="shared" si="197"/>
        <v>Off</v>
      </c>
      <c r="AQ1274" t="str">
        <f t="shared" si="197"/>
        <v>Off</v>
      </c>
      <c r="AR1274" t="str">
        <f t="shared" si="197"/>
        <v>Off</v>
      </c>
      <c r="AS1274" t="str">
        <f t="shared" si="197"/>
        <v>Off</v>
      </c>
      <c r="AT1274" t="str">
        <f t="shared" si="197"/>
        <v>Off</v>
      </c>
      <c r="AU1274" t="str">
        <f t="shared" si="197"/>
        <v>Off</v>
      </c>
      <c r="AV1274" t="str">
        <f t="shared" si="197"/>
        <v>Off</v>
      </c>
      <c r="AW1274" t="str">
        <f t="shared" si="197"/>
        <v>Off</v>
      </c>
    </row>
    <row r="1275" spans="1:49">
      <c r="A1275" t="s">
        <v>2422</v>
      </c>
      <c r="B1275" t="str">
        <f t="shared" si="193"/>
        <v>Off</v>
      </c>
      <c r="C1275" t="str">
        <f t="shared" si="193"/>
        <v>Off</v>
      </c>
      <c r="D1275" t="str">
        <f t="shared" si="193"/>
        <v>Off</v>
      </c>
      <c r="E1275" t="str">
        <f t="shared" si="193"/>
        <v>Off</v>
      </c>
      <c r="F1275" t="str">
        <f t="shared" si="193"/>
        <v>Off</v>
      </c>
      <c r="G1275" t="str">
        <f t="shared" si="193"/>
        <v>Off</v>
      </c>
      <c r="H1275" t="str">
        <f t="shared" si="193"/>
        <v>Off</v>
      </c>
      <c r="I1275" t="str">
        <f t="shared" si="193"/>
        <v>Off</v>
      </c>
      <c r="J1275" t="str">
        <f t="shared" si="193"/>
        <v>Off</v>
      </c>
      <c r="K1275" t="str">
        <f t="shared" si="193"/>
        <v>Off</v>
      </c>
      <c r="L1275" t="str">
        <f t="shared" si="194"/>
        <v>Off</v>
      </c>
      <c r="M1275" t="str">
        <f t="shared" si="194"/>
        <v>Off</v>
      </c>
      <c r="N1275" t="str">
        <f t="shared" si="194"/>
        <v>Off</v>
      </c>
      <c r="O1275" t="str">
        <f t="shared" si="194"/>
        <v>Off</v>
      </c>
      <c r="P1275" t="str">
        <f t="shared" si="194"/>
        <v>Off</v>
      </c>
      <c r="Q1275" t="str">
        <f t="shared" si="194"/>
        <v>Off</v>
      </c>
      <c r="R1275" t="str">
        <f t="shared" si="194"/>
        <v>Off</v>
      </c>
      <c r="S1275" t="str">
        <f t="shared" si="194"/>
        <v>Off</v>
      </c>
      <c r="T1275" t="str">
        <f t="shared" si="194"/>
        <v>Off</v>
      </c>
      <c r="U1275" t="str">
        <f t="shared" si="194"/>
        <v>Off</v>
      </c>
      <c r="V1275" t="str">
        <f t="shared" si="195"/>
        <v>Off</v>
      </c>
      <c r="W1275" t="str">
        <f t="shared" si="195"/>
        <v>Off</v>
      </c>
      <c r="X1275" t="str">
        <f t="shared" si="195"/>
        <v>Off</v>
      </c>
      <c r="Y1275" t="str">
        <f t="shared" si="195"/>
        <v>Off</v>
      </c>
      <c r="Z1275" t="str">
        <f t="shared" si="195"/>
        <v>Off</v>
      </c>
      <c r="AA1275" t="str">
        <f t="shared" si="195"/>
        <v>Off</v>
      </c>
      <c r="AB1275" t="str">
        <f t="shared" si="195"/>
        <v>Off</v>
      </c>
      <c r="AC1275" t="str">
        <f t="shared" si="195"/>
        <v>Off</v>
      </c>
      <c r="AD1275" t="str">
        <f t="shared" si="195"/>
        <v>Off</v>
      </c>
      <c r="AE1275" t="str">
        <f t="shared" si="195"/>
        <v>Off</v>
      </c>
      <c r="AF1275" t="str">
        <f t="shared" si="196"/>
        <v>Off</v>
      </c>
      <c r="AG1275" t="str">
        <f t="shared" si="196"/>
        <v>Off</v>
      </c>
      <c r="AH1275" t="str">
        <f t="shared" si="196"/>
        <v>Off</v>
      </c>
      <c r="AI1275" t="str">
        <f t="shared" si="196"/>
        <v>Off</v>
      </c>
      <c r="AJ1275" t="str">
        <f t="shared" si="196"/>
        <v>Off</v>
      </c>
      <c r="AK1275" t="str">
        <f t="shared" si="196"/>
        <v>Off</v>
      </c>
      <c r="AL1275" t="str">
        <f t="shared" si="196"/>
        <v>Off</v>
      </c>
      <c r="AM1275" t="str">
        <f t="shared" si="196"/>
        <v>Off</v>
      </c>
      <c r="AN1275" t="str">
        <f t="shared" si="196"/>
        <v>Off</v>
      </c>
      <c r="AO1275" t="str">
        <f t="shared" si="196"/>
        <v>Off</v>
      </c>
      <c r="AP1275" t="str">
        <f t="shared" si="197"/>
        <v>Off</v>
      </c>
      <c r="AQ1275" t="str">
        <f t="shared" si="197"/>
        <v>Off</v>
      </c>
      <c r="AR1275" t="str">
        <f t="shared" si="197"/>
        <v>Off</v>
      </c>
      <c r="AS1275" t="str">
        <f t="shared" si="197"/>
        <v>Off</v>
      </c>
      <c r="AT1275" t="str">
        <f t="shared" si="197"/>
        <v>Off</v>
      </c>
      <c r="AU1275" t="str">
        <f t="shared" si="197"/>
        <v>Off</v>
      </c>
      <c r="AV1275" t="str">
        <f t="shared" si="197"/>
        <v>Off</v>
      </c>
      <c r="AW1275" t="str">
        <f t="shared" si="197"/>
        <v>Off</v>
      </c>
    </row>
    <row r="1276" spans="1:49">
      <c r="A1276" t="s">
        <v>2423</v>
      </c>
      <c r="B1276" t="str">
        <f t="shared" si="193"/>
        <v>Off</v>
      </c>
      <c r="C1276" t="str">
        <f t="shared" si="193"/>
        <v>Off</v>
      </c>
      <c r="D1276" t="str">
        <f t="shared" si="193"/>
        <v>Off</v>
      </c>
      <c r="E1276" t="str">
        <f t="shared" si="193"/>
        <v>Off</v>
      </c>
      <c r="F1276" t="str">
        <f t="shared" si="193"/>
        <v>Off</v>
      </c>
      <c r="G1276" t="str">
        <f t="shared" si="193"/>
        <v>Off</v>
      </c>
      <c r="H1276" t="str">
        <f t="shared" si="193"/>
        <v>Off</v>
      </c>
      <c r="I1276" t="str">
        <f t="shared" si="193"/>
        <v>Off</v>
      </c>
      <c r="J1276" t="str">
        <f t="shared" si="193"/>
        <v>Off</v>
      </c>
      <c r="K1276" t="str">
        <f t="shared" si="193"/>
        <v>Off</v>
      </c>
      <c r="L1276" t="str">
        <f t="shared" si="194"/>
        <v>Off</v>
      </c>
      <c r="M1276" t="str">
        <f t="shared" si="194"/>
        <v>Off</v>
      </c>
      <c r="N1276" t="str">
        <f t="shared" si="194"/>
        <v>Off</v>
      </c>
      <c r="O1276" t="str">
        <f t="shared" si="194"/>
        <v>Off</v>
      </c>
      <c r="P1276" t="str">
        <f t="shared" si="194"/>
        <v>Off</v>
      </c>
      <c r="Q1276" t="str">
        <f t="shared" si="194"/>
        <v>Off</v>
      </c>
      <c r="R1276" t="str">
        <f t="shared" si="194"/>
        <v>Off</v>
      </c>
      <c r="S1276" t="str">
        <f t="shared" si="194"/>
        <v>Off</v>
      </c>
      <c r="T1276" t="str">
        <f t="shared" si="194"/>
        <v>Off</v>
      </c>
      <c r="U1276" t="str">
        <f t="shared" si="194"/>
        <v>Off</v>
      </c>
      <c r="V1276" t="str">
        <f t="shared" si="195"/>
        <v>Off</v>
      </c>
      <c r="W1276" t="str">
        <f t="shared" si="195"/>
        <v>Off</v>
      </c>
      <c r="X1276" t="str">
        <f t="shared" si="195"/>
        <v>Off</v>
      </c>
      <c r="Y1276" t="str">
        <f t="shared" si="195"/>
        <v>Off</v>
      </c>
      <c r="Z1276" t="str">
        <f t="shared" si="195"/>
        <v>Off</v>
      </c>
      <c r="AA1276" t="str">
        <f t="shared" si="195"/>
        <v>Off</v>
      </c>
      <c r="AB1276" t="str">
        <f t="shared" si="195"/>
        <v>Off</v>
      </c>
      <c r="AC1276" t="str">
        <f t="shared" si="195"/>
        <v>Off</v>
      </c>
      <c r="AD1276" t="str">
        <f t="shared" si="195"/>
        <v>Off</v>
      </c>
      <c r="AE1276" t="str">
        <f t="shared" si="195"/>
        <v>Off</v>
      </c>
      <c r="AF1276" t="str">
        <f t="shared" si="196"/>
        <v>Off</v>
      </c>
      <c r="AG1276" t="str">
        <f t="shared" si="196"/>
        <v>Off</v>
      </c>
      <c r="AH1276" t="str">
        <f t="shared" si="196"/>
        <v>Off</v>
      </c>
      <c r="AI1276" t="str">
        <f t="shared" si="196"/>
        <v>Off</v>
      </c>
      <c r="AJ1276" t="str">
        <f t="shared" si="196"/>
        <v>Off</v>
      </c>
      <c r="AK1276" t="str">
        <f t="shared" si="196"/>
        <v>Off</v>
      </c>
      <c r="AL1276" t="str">
        <f t="shared" si="196"/>
        <v>Off</v>
      </c>
      <c r="AM1276" t="str">
        <f t="shared" si="196"/>
        <v>Off</v>
      </c>
      <c r="AN1276" t="str">
        <f t="shared" si="196"/>
        <v>Off</v>
      </c>
      <c r="AO1276" t="str">
        <f t="shared" si="196"/>
        <v>Off</v>
      </c>
      <c r="AP1276" t="str">
        <f t="shared" si="197"/>
        <v>Off</v>
      </c>
      <c r="AQ1276" t="str">
        <f t="shared" si="197"/>
        <v>Off</v>
      </c>
      <c r="AR1276" t="str">
        <f t="shared" si="197"/>
        <v>Off</v>
      </c>
      <c r="AS1276" t="str">
        <f t="shared" si="197"/>
        <v>Off</v>
      </c>
      <c r="AT1276" t="str">
        <f t="shared" si="197"/>
        <v>Off</v>
      </c>
      <c r="AU1276" t="str">
        <f t="shared" si="197"/>
        <v>Off</v>
      </c>
      <c r="AV1276" t="str">
        <f t="shared" si="197"/>
        <v>Off</v>
      </c>
      <c r="AW1276" t="str">
        <f t="shared" si="197"/>
        <v>Off</v>
      </c>
    </row>
    <row r="1277" spans="1:49">
      <c r="A1277" t="s">
        <v>2424</v>
      </c>
      <c r="B1277" t="str">
        <f t="shared" si="193"/>
        <v>Off</v>
      </c>
      <c r="C1277" t="str">
        <f t="shared" si="193"/>
        <v>Off</v>
      </c>
      <c r="D1277" t="str">
        <f t="shared" si="193"/>
        <v>Off</v>
      </c>
      <c r="E1277" t="str">
        <f t="shared" si="193"/>
        <v>Off</v>
      </c>
      <c r="F1277" t="str">
        <f t="shared" si="193"/>
        <v>Off</v>
      </c>
      <c r="G1277" t="str">
        <f t="shared" si="193"/>
        <v>Off</v>
      </c>
      <c r="H1277" t="str">
        <f t="shared" si="193"/>
        <v>Off</v>
      </c>
      <c r="I1277" t="str">
        <f t="shared" si="193"/>
        <v>Off</v>
      </c>
      <c r="J1277" t="str">
        <f t="shared" si="193"/>
        <v>Off</v>
      </c>
      <c r="K1277" t="str">
        <f t="shared" si="193"/>
        <v>Off</v>
      </c>
      <c r="L1277" t="str">
        <f t="shared" si="194"/>
        <v>Off</v>
      </c>
      <c r="M1277" t="str">
        <f t="shared" si="194"/>
        <v>Off</v>
      </c>
      <c r="N1277" t="str">
        <f t="shared" si="194"/>
        <v>Off</v>
      </c>
      <c r="O1277" t="str">
        <f t="shared" si="194"/>
        <v>Off</v>
      </c>
      <c r="P1277" t="str">
        <f t="shared" si="194"/>
        <v>Off</v>
      </c>
      <c r="Q1277" t="str">
        <f t="shared" si="194"/>
        <v>Off</v>
      </c>
      <c r="R1277" t="str">
        <f t="shared" si="194"/>
        <v>Off</v>
      </c>
      <c r="S1277" t="str">
        <f t="shared" si="194"/>
        <v>Off</v>
      </c>
      <c r="T1277" t="str">
        <f t="shared" si="194"/>
        <v>Off</v>
      </c>
      <c r="U1277" t="str">
        <f t="shared" si="194"/>
        <v>Off</v>
      </c>
      <c r="V1277" t="str">
        <f t="shared" si="195"/>
        <v>Off</v>
      </c>
      <c r="W1277" t="str">
        <f t="shared" si="195"/>
        <v>Off</v>
      </c>
      <c r="X1277" t="str">
        <f t="shared" si="195"/>
        <v>Off</v>
      </c>
      <c r="Y1277" t="str">
        <f t="shared" si="195"/>
        <v>Off</v>
      </c>
      <c r="Z1277" t="str">
        <f t="shared" si="195"/>
        <v>Off</v>
      </c>
      <c r="AA1277" t="str">
        <f t="shared" si="195"/>
        <v>Off</v>
      </c>
      <c r="AB1277" t="str">
        <f t="shared" si="195"/>
        <v>Off</v>
      </c>
      <c r="AC1277" t="str">
        <f t="shared" si="195"/>
        <v>Off</v>
      </c>
      <c r="AD1277" t="str">
        <f t="shared" si="195"/>
        <v>Off</v>
      </c>
      <c r="AE1277" t="str">
        <f t="shared" si="195"/>
        <v>Off</v>
      </c>
      <c r="AF1277" t="str">
        <f t="shared" si="196"/>
        <v>Off</v>
      </c>
      <c r="AG1277" t="str">
        <f t="shared" si="196"/>
        <v>Off</v>
      </c>
      <c r="AH1277" t="str">
        <f t="shared" si="196"/>
        <v>Off</v>
      </c>
      <c r="AI1277" t="str">
        <f t="shared" si="196"/>
        <v>Off</v>
      </c>
      <c r="AJ1277" t="str">
        <f t="shared" si="196"/>
        <v>Off</v>
      </c>
      <c r="AK1277" t="str">
        <f t="shared" si="196"/>
        <v>Off</v>
      </c>
      <c r="AL1277" t="str">
        <f t="shared" si="196"/>
        <v>Off</v>
      </c>
      <c r="AM1277" t="str">
        <f t="shared" si="196"/>
        <v>Off</v>
      </c>
      <c r="AN1277" t="str">
        <f t="shared" si="196"/>
        <v>Off</v>
      </c>
      <c r="AO1277" t="str">
        <f t="shared" si="196"/>
        <v>Off</v>
      </c>
      <c r="AP1277" t="str">
        <f t="shared" si="197"/>
        <v>Off</v>
      </c>
      <c r="AQ1277" t="str">
        <f t="shared" si="197"/>
        <v>Off</v>
      </c>
      <c r="AR1277" t="str">
        <f t="shared" si="197"/>
        <v>Off</v>
      </c>
      <c r="AS1277" t="str">
        <f t="shared" si="197"/>
        <v>Off</v>
      </c>
      <c r="AT1277" t="str">
        <f t="shared" si="197"/>
        <v>Off</v>
      </c>
      <c r="AU1277" t="str">
        <f t="shared" si="197"/>
        <v>Off</v>
      </c>
      <c r="AV1277" t="str">
        <f t="shared" si="197"/>
        <v>Off</v>
      </c>
      <c r="AW1277" t="str">
        <f t="shared" si="197"/>
        <v>Off</v>
      </c>
    </row>
    <row r="1278" spans="1:49">
      <c r="A1278" t="s">
        <v>2425</v>
      </c>
      <c r="B1278" t="str">
        <f t="shared" ref="B1278:AW1278" si="198">"OFF"</f>
        <v>OFF</v>
      </c>
      <c r="C1278" t="str">
        <f t="shared" si="198"/>
        <v>OFF</v>
      </c>
      <c r="D1278" t="str">
        <f t="shared" si="198"/>
        <v>OFF</v>
      </c>
      <c r="E1278" t="str">
        <f t="shared" si="198"/>
        <v>OFF</v>
      </c>
      <c r="F1278" t="str">
        <f t="shared" si="198"/>
        <v>OFF</v>
      </c>
      <c r="G1278" t="str">
        <f t="shared" si="198"/>
        <v>OFF</v>
      </c>
      <c r="H1278" t="str">
        <f t="shared" si="198"/>
        <v>OFF</v>
      </c>
      <c r="I1278" t="str">
        <f t="shared" si="198"/>
        <v>OFF</v>
      </c>
      <c r="J1278" t="str">
        <f t="shared" si="198"/>
        <v>OFF</v>
      </c>
      <c r="K1278" t="str">
        <f t="shared" si="198"/>
        <v>OFF</v>
      </c>
      <c r="L1278" t="str">
        <f t="shared" si="198"/>
        <v>OFF</v>
      </c>
      <c r="M1278" t="str">
        <f t="shared" si="198"/>
        <v>OFF</v>
      </c>
      <c r="N1278" t="str">
        <f t="shared" si="198"/>
        <v>OFF</v>
      </c>
      <c r="O1278" t="str">
        <f t="shared" si="198"/>
        <v>OFF</v>
      </c>
      <c r="P1278" t="str">
        <f t="shared" si="198"/>
        <v>OFF</v>
      </c>
      <c r="Q1278" t="str">
        <f t="shared" si="198"/>
        <v>OFF</v>
      </c>
      <c r="R1278" t="str">
        <f t="shared" si="198"/>
        <v>OFF</v>
      </c>
      <c r="S1278" t="str">
        <f t="shared" si="198"/>
        <v>OFF</v>
      </c>
      <c r="T1278" t="str">
        <f t="shared" si="198"/>
        <v>OFF</v>
      </c>
      <c r="U1278" t="str">
        <f t="shared" si="198"/>
        <v>OFF</v>
      </c>
      <c r="V1278" t="str">
        <f t="shared" si="198"/>
        <v>OFF</v>
      </c>
      <c r="W1278" t="str">
        <f t="shared" si="198"/>
        <v>OFF</v>
      </c>
      <c r="X1278" t="str">
        <f t="shared" si="198"/>
        <v>OFF</v>
      </c>
      <c r="Y1278" t="str">
        <f t="shared" si="198"/>
        <v>OFF</v>
      </c>
      <c r="Z1278" t="str">
        <f t="shared" si="198"/>
        <v>OFF</v>
      </c>
      <c r="AA1278" t="str">
        <f t="shared" si="198"/>
        <v>OFF</v>
      </c>
      <c r="AB1278" t="str">
        <f t="shared" si="198"/>
        <v>OFF</v>
      </c>
      <c r="AC1278" t="str">
        <f t="shared" si="198"/>
        <v>OFF</v>
      </c>
      <c r="AD1278" t="str">
        <f t="shared" si="198"/>
        <v>OFF</v>
      </c>
      <c r="AE1278" t="str">
        <f t="shared" si="198"/>
        <v>OFF</v>
      </c>
      <c r="AF1278" t="str">
        <f t="shared" si="198"/>
        <v>OFF</v>
      </c>
      <c r="AG1278" t="str">
        <f t="shared" si="198"/>
        <v>OFF</v>
      </c>
      <c r="AH1278" t="str">
        <f t="shared" si="198"/>
        <v>OFF</v>
      </c>
      <c r="AI1278" t="str">
        <f t="shared" si="198"/>
        <v>OFF</v>
      </c>
      <c r="AJ1278" t="str">
        <f t="shared" si="198"/>
        <v>OFF</v>
      </c>
      <c r="AK1278" t="str">
        <f t="shared" si="198"/>
        <v>OFF</v>
      </c>
      <c r="AL1278" t="str">
        <f t="shared" si="198"/>
        <v>OFF</v>
      </c>
      <c r="AM1278" t="str">
        <f t="shared" si="198"/>
        <v>OFF</v>
      </c>
      <c r="AN1278" t="str">
        <f t="shared" si="198"/>
        <v>OFF</v>
      </c>
      <c r="AO1278" t="str">
        <f t="shared" si="198"/>
        <v>OFF</v>
      </c>
      <c r="AP1278" t="str">
        <f t="shared" si="198"/>
        <v>OFF</v>
      </c>
      <c r="AQ1278" t="str">
        <f t="shared" si="198"/>
        <v>OFF</v>
      </c>
      <c r="AR1278" t="str">
        <f t="shared" si="198"/>
        <v>OFF</v>
      </c>
      <c r="AS1278" t="str">
        <f t="shared" si="198"/>
        <v>OFF</v>
      </c>
      <c r="AT1278" t="str">
        <f t="shared" si="198"/>
        <v>OFF</v>
      </c>
      <c r="AU1278" t="str">
        <f t="shared" si="198"/>
        <v>OFF</v>
      </c>
      <c r="AV1278" t="str">
        <f t="shared" si="198"/>
        <v>OFF</v>
      </c>
      <c r="AW1278" t="str">
        <f t="shared" si="198"/>
        <v>OFF</v>
      </c>
    </row>
    <row r="1279" spans="1:49">
      <c r="A1279" t="s">
        <v>2426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</row>
    <row r="1280" spans="1:49">
      <c r="A1280" t="s">
        <v>2427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</row>
    <row r="1281" spans="1:49">
      <c r="A1281" t="s">
        <v>17</v>
      </c>
      <c r="B1281" t="str">
        <f t="shared" ref="B1281:AW1281" si="199">"Off"</f>
        <v>Off</v>
      </c>
      <c r="C1281" t="str">
        <f t="shared" si="199"/>
        <v>Off</v>
      </c>
      <c r="D1281" t="str">
        <f t="shared" si="199"/>
        <v>Off</v>
      </c>
      <c r="E1281" t="str">
        <f t="shared" si="199"/>
        <v>Off</v>
      </c>
      <c r="F1281" t="str">
        <f t="shared" si="199"/>
        <v>Off</v>
      </c>
      <c r="G1281" t="str">
        <f t="shared" si="199"/>
        <v>Off</v>
      </c>
      <c r="H1281" t="str">
        <f t="shared" si="199"/>
        <v>Off</v>
      </c>
      <c r="I1281" t="str">
        <f t="shared" si="199"/>
        <v>Off</v>
      </c>
      <c r="J1281" t="str">
        <f t="shared" si="199"/>
        <v>Off</v>
      </c>
      <c r="K1281" t="str">
        <f t="shared" si="199"/>
        <v>Off</v>
      </c>
      <c r="L1281" t="str">
        <f t="shared" si="199"/>
        <v>Off</v>
      </c>
      <c r="M1281" t="str">
        <f t="shared" si="199"/>
        <v>Off</v>
      </c>
      <c r="N1281" t="str">
        <f t="shared" si="199"/>
        <v>Off</v>
      </c>
      <c r="O1281" t="str">
        <f t="shared" si="199"/>
        <v>Off</v>
      </c>
      <c r="P1281" t="str">
        <f t="shared" si="199"/>
        <v>Off</v>
      </c>
      <c r="Q1281" t="str">
        <f t="shared" si="199"/>
        <v>Off</v>
      </c>
      <c r="R1281" t="str">
        <f t="shared" si="199"/>
        <v>Off</v>
      </c>
      <c r="S1281" t="str">
        <f t="shared" si="199"/>
        <v>Off</v>
      </c>
      <c r="T1281" t="str">
        <f t="shared" si="199"/>
        <v>Off</v>
      </c>
      <c r="U1281" t="str">
        <f t="shared" si="199"/>
        <v>Off</v>
      </c>
      <c r="V1281" t="str">
        <f t="shared" si="199"/>
        <v>Off</v>
      </c>
      <c r="W1281" t="str">
        <f t="shared" si="199"/>
        <v>Off</v>
      </c>
      <c r="X1281" t="str">
        <f t="shared" si="199"/>
        <v>Off</v>
      </c>
      <c r="Y1281" t="str">
        <f t="shared" si="199"/>
        <v>Off</v>
      </c>
      <c r="Z1281" t="str">
        <f t="shared" si="199"/>
        <v>Off</v>
      </c>
      <c r="AA1281" t="str">
        <f t="shared" si="199"/>
        <v>Off</v>
      </c>
      <c r="AB1281" t="str">
        <f t="shared" si="199"/>
        <v>Off</v>
      </c>
      <c r="AC1281" t="str">
        <f t="shared" si="199"/>
        <v>Off</v>
      </c>
      <c r="AD1281" t="str">
        <f t="shared" si="199"/>
        <v>Off</v>
      </c>
      <c r="AE1281" t="str">
        <f t="shared" si="199"/>
        <v>Off</v>
      </c>
      <c r="AF1281" t="str">
        <f t="shared" si="199"/>
        <v>Off</v>
      </c>
      <c r="AG1281" t="str">
        <f t="shared" si="199"/>
        <v>Off</v>
      </c>
      <c r="AH1281" t="str">
        <f t="shared" si="199"/>
        <v>Off</v>
      </c>
      <c r="AI1281" t="str">
        <f t="shared" si="199"/>
        <v>Off</v>
      </c>
      <c r="AJ1281" t="str">
        <f t="shared" si="199"/>
        <v>Off</v>
      </c>
      <c r="AK1281" t="str">
        <f t="shared" si="199"/>
        <v>Off</v>
      </c>
      <c r="AL1281" t="str">
        <f t="shared" si="199"/>
        <v>Off</v>
      </c>
      <c r="AM1281" t="str">
        <f t="shared" si="199"/>
        <v>Off</v>
      </c>
      <c r="AN1281" t="str">
        <f t="shared" si="199"/>
        <v>Off</v>
      </c>
      <c r="AO1281" t="str">
        <f t="shared" si="199"/>
        <v>Off</v>
      </c>
      <c r="AP1281" t="str">
        <f t="shared" si="199"/>
        <v>Off</v>
      </c>
      <c r="AQ1281" t="str">
        <f t="shared" si="199"/>
        <v>Off</v>
      </c>
      <c r="AR1281" t="str">
        <f t="shared" si="199"/>
        <v>Off</v>
      </c>
      <c r="AS1281" t="str">
        <f t="shared" si="199"/>
        <v>Off</v>
      </c>
      <c r="AT1281" t="str">
        <f t="shared" si="199"/>
        <v>Off</v>
      </c>
      <c r="AU1281" t="str">
        <f t="shared" si="199"/>
        <v>Off</v>
      </c>
      <c r="AV1281" t="str">
        <f t="shared" si="199"/>
        <v>Off</v>
      </c>
      <c r="AW1281" t="str">
        <f t="shared" si="199"/>
        <v>Off</v>
      </c>
    </row>
    <row r="1282" spans="1:49">
      <c r="A1282" t="s">
        <v>18</v>
      </c>
      <c r="B1282">
        <v>10</v>
      </c>
      <c r="C1282">
        <v>10</v>
      </c>
      <c r="D1282">
        <v>10</v>
      </c>
      <c r="E1282">
        <v>10</v>
      </c>
      <c r="F1282">
        <v>10</v>
      </c>
      <c r="G1282">
        <v>10</v>
      </c>
      <c r="H1282">
        <v>10</v>
      </c>
      <c r="I1282">
        <v>10</v>
      </c>
      <c r="J1282">
        <v>10</v>
      </c>
      <c r="K1282">
        <v>10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</row>
    <row r="1284" spans="1:49">
      <c r="B1284" t="s">
        <v>2428</v>
      </c>
      <c r="C1284">
        <v>4</v>
      </c>
      <c r="D1284">
        <v>48</v>
      </c>
      <c r="E1284">
        <v>1</v>
      </c>
    </row>
    <row r="1285" spans="1:49">
      <c r="B1285" t="s">
        <v>1604</v>
      </c>
      <c r="C1285" t="s">
        <v>1605</v>
      </c>
      <c r="D1285" t="s">
        <v>1606</v>
      </c>
      <c r="E1285" t="s">
        <v>1607</v>
      </c>
      <c r="F1285" t="s">
        <v>1608</v>
      </c>
      <c r="G1285" t="s">
        <v>1609</v>
      </c>
      <c r="H1285" t="s">
        <v>1610</v>
      </c>
      <c r="I1285" t="s">
        <v>1611</v>
      </c>
      <c r="J1285" t="s">
        <v>1612</v>
      </c>
      <c r="K1285" t="s">
        <v>1613</v>
      </c>
      <c r="L1285" t="s">
        <v>1614</v>
      </c>
      <c r="M1285" t="s">
        <v>1615</v>
      </c>
      <c r="N1285" t="s">
        <v>1616</v>
      </c>
      <c r="O1285" t="s">
        <v>1617</v>
      </c>
      <c r="P1285" t="s">
        <v>1618</v>
      </c>
      <c r="Q1285" t="s">
        <v>1619</v>
      </c>
      <c r="R1285" t="s">
        <v>1620</v>
      </c>
      <c r="S1285" t="s">
        <v>1621</v>
      </c>
      <c r="T1285" t="s">
        <v>1622</v>
      </c>
      <c r="U1285" t="s">
        <v>1623</v>
      </c>
      <c r="V1285" t="s">
        <v>1624</v>
      </c>
      <c r="W1285" t="s">
        <v>1625</v>
      </c>
      <c r="X1285" t="s">
        <v>1626</v>
      </c>
      <c r="Y1285" t="s">
        <v>1627</v>
      </c>
      <c r="Z1285" t="s">
        <v>1628</v>
      </c>
      <c r="AA1285" t="s">
        <v>1629</v>
      </c>
      <c r="AB1285" t="s">
        <v>1630</v>
      </c>
      <c r="AC1285" t="s">
        <v>1631</v>
      </c>
      <c r="AD1285" t="s">
        <v>1632</v>
      </c>
      <c r="AE1285" t="s">
        <v>1633</v>
      </c>
      <c r="AF1285" t="s">
        <v>1634</v>
      </c>
      <c r="AG1285" t="s">
        <v>1635</v>
      </c>
      <c r="AH1285" t="s">
        <v>2386</v>
      </c>
      <c r="AI1285" t="s">
        <v>2387</v>
      </c>
      <c r="AJ1285" t="s">
        <v>2388</v>
      </c>
      <c r="AK1285" t="s">
        <v>2389</v>
      </c>
      <c r="AL1285" t="s">
        <v>2390</v>
      </c>
      <c r="AM1285" t="s">
        <v>2391</v>
      </c>
      <c r="AN1285" t="s">
        <v>2392</v>
      </c>
      <c r="AO1285" t="s">
        <v>2393</v>
      </c>
      <c r="AP1285" t="s">
        <v>2394</v>
      </c>
      <c r="AQ1285" t="s">
        <v>2395</v>
      </c>
      <c r="AR1285" t="s">
        <v>2396</v>
      </c>
      <c r="AS1285" t="s">
        <v>2397</v>
      </c>
      <c r="AT1285" t="s">
        <v>2398</v>
      </c>
      <c r="AU1285" t="s">
        <v>2399</v>
      </c>
      <c r="AV1285" t="s">
        <v>2400</v>
      </c>
      <c r="AW1285" t="s">
        <v>2401</v>
      </c>
    </row>
    <row r="1286" spans="1:49">
      <c r="A1286" t="s">
        <v>2429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</row>
    <row r="1287" spans="1:49">
      <c r="A1287" t="s">
        <v>2430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</row>
    <row r="1288" spans="1:49">
      <c r="A1288" t="s">
        <v>2431</v>
      </c>
      <c r="B1288">
        <v>1</v>
      </c>
      <c r="C1288">
        <v>1</v>
      </c>
      <c r="D1288">
        <v>1</v>
      </c>
      <c r="E1288">
        <v>1</v>
      </c>
      <c r="F1288">
        <v>1</v>
      </c>
      <c r="G1288">
        <v>1</v>
      </c>
      <c r="H1288">
        <v>1</v>
      </c>
      <c r="I1288">
        <v>1</v>
      </c>
      <c r="J1288">
        <v>1</v>
      </c>
      <c r="K1288">
        <v>1</v>
      </c>
      <c r="L1288">
        <v>1</v>
      </c>
      <c r="M1288">
        <v>1</v>
      </c>
      <c r="N1288">
        <v>1</v>
      </c>
      <c r="O1288">
        <v>1</v>
      </c>
      <c r="P1288">
        <v>1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>
        <v>1</v>
      </c>
      <c r="AF1288">
        <v>1</v>
      </c>
      <c r="AG1288">
        <v>1</v>
      </c>
      <c r="AH1288">
        <v>1</v>
      </c>
      <c r="AI1288">
        <v>1</v>
      </c>
      <c r="AJ1288">
        <v>1</v>
      </c>
      <c r="AK1288">
        <v>1</v>
      </c>
      <c r="AL1288">
        <v>1</v>
      </c>
      <c r="AM1288">
        <v>1</v>
      </c>
      <c r="AN1288">
        <v>1</v>
      </c>
      <c r="AO1288">
        <v>1</v>
      </c>
      <c r="AP1288">
        <v>1</v>
      </c>
      <c r="AQ1288">
        <v>1</v>
      </c>
      <c r="AR1288">
        <v>1</v>
      </c>
      <c r="AS1288">
        <v>1</v>
      </c>
      <c r="AT1288">
        <v>1</v>
      </c>
      <c r="AU1288">
        <v>1</v>
      </c>
      <c r="AV1288">
        <v>1</v>
      </c>
      <c r="AW1288">
        <v>1</v>
      </c>
    </row>
    <row r="1289" spans="1:49">
      <c r="A1289" t="s">
        <v>2432</v>
      </c>
      <c r="B1289">
        <v>1</v>
      </c>
      <c r="C1289">
        <v>2</v>
      </c>
      <c r="D1289">
        <v>3</v>
      </c>
      <c r="E1289">
        <v>4</v>
      </c>
      <c r="F1289">
        <v>5</v>
      </c>
      <c r="G1289">
        <v>6</v>
      </c>
      <c r="H1289">
        <v>7</v>
      </c>
      <c r="I1289">
        <v>8</v>
      </c>
      <c r="J1289">
        <v>9</v>
      </c>
      <c r="K1289">
        <v>10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</row>
    <row r="1291" spans="1:49">
      <c r="B1291" t="s">
        <v>2433</v>
      </c>
      <c r="C1291">
        <v>4</v>
      </c>
      <c r="D1291">
        <v>8</v>
      </c>
      <c r="E1291">
        <v>1</v>
      </c>
    </row>
    <row r="1292" spans="1:49">
      <c r="B1292" t="s">
        <v>63</v>
      </c>
      <c r="C1292" t="s">
        <v>64</v>
      </c>
      <c r="D1292" t="s">
        <v>65</v>
      </c>
      <c r="E1292" t="s">
        <v>66</v>
      </c>
      <c r="F1292" t="s">
        <v>67</v>
      </c>
      <c r="G1292" t="s">
        <v>68</v>
      </c>
      <c r="H1292" t="s">
        <v>69</v>
      </c>
      <c r="I1292" t="s">
        <v>70</v>
      </c>
    </row>
    <row r="1293" spans="1:49">
      <c r="A1293" t="s">
        <v>2434</v>
      </c>
      <c r="B1293">
        <v>0</v>
      </c>
      <c r="C1293">
        <v>2</v>
      </c>
      <c r="D1293">
        <v>0</v>
      </c>
      <c r="E1293">
        <v>4</v>
      </c>
      <c r="F1293">
        <v>0</v>
      </c>
      <c r="G1293">
        <v>6</v>
      </c>
      <c r="H1293">
        <v>0</v>
      </c>
      <c r="I1293">
        <v>8</v>
      </c>
    </row>
    <row r="1294" spans="1:49">
      <c r="A1294" t="s">
        <v>2435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49">
      <c r="A1295" t="s">
        <v>2436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49">
      <c r="A1296" t="s">
        <v>2437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8" spans="1:9">
      <c r="B1298" t="s">
        <v>2438</v>
      </c>
      <c r="C1298">
        <v>5</v>
      </c>
      <c r="D1298">
        <v>8</v>
      </c>
      <c r="E1298">
        <v>1</v>
      </c>
    </row>
    <row r="1299" spans="1:9">
      <c r="B1299" t="s">
        <v>1511</v>
      </c>
      <c r="C1299" t="s">
        <v>1512</v>
      </c>
      <c r="D1299" t="s">
        <v>1513</v>
      </c>
      <c r="E1299" t="s">
        <v>1514</v>
      </c>
      <c r="F1299" t="s">
        <v>1515</v>
      </c>
      <c r="G1299" t="s">
        <v>1516</v>
      </c>
      <c r="H1299" t="s">
        <v>1517</v>
      </c>
      <c r="I1299" t="s">
        <v>1518</v>
      </c>
    </row>
    <row r="1300" spans="1:9">
      <c r="A1300" t="s">
        <v>2434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>
      <c r="A1301" t="s">
        <v>2439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>
      <c r="A1302" t="s">
        <v>2435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>
      <c r="A1303" t="s">
        <v>2436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>
      <c r="A1304" t="s">
        <v>2437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6" spans="1:9">
      <c r="B1306" t="s">
        <v>2440</v>
      </c>
      <c r="C1306">
        <v>5</v>
      </c>
      <c r="D1306">
        <v>8</v>
      </c>
      <c r="E1306">
        <v>1</v>
      </c>
    </row>
    <row r="1307" spans="1:9">
      <c r="B1307" t="s">
        <v>1511</v>
      </c>
      <c r="C1307" t="s">
        <v>1512</v>
      </c>
      <c r="D1307" t="s">
        <v>1513</v>
      </c>
      <c r="E1307" t="s">
        <v>1514</v>
      </c>
      <c r="F1307" t="s">
        <v>1515</v>
      </c>
      <c r="G1307" t="s">
        <v>1516</v>
      </c>
      <c r="H1307" t="s">
        <v>1517</v>
      </c>
      <c r="I1307" t="s">
        <v>1518</v>
      </c>
    </row>
    <row r="1308" spans="1:9">
      <c r="A1308" t="s">
        <v>2434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>
      <c r="A1309" t="s">
        <v>2439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>
      <c r="A1310" t="s">
        <v>2435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>
      <c r="A1311" t="s">
        <v>2436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>
      <c r="A1312" t="s">
        <v>2437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</row>
    <row r="1314" spans="1:16">
      <c r="B1314" t="s">
        <v>2441</v>
      </c>
      <c r="C1314">
        <v>5</v>
      </c>
      <c r="D1314">
        <v>8</v>
      </c>
      <c r="E1314">
        <v>1</v>
      </c>
    </row>
    <row r="1315" spans="1:16">
      <c r="B1315" t="s">
        <v>1511</v>
      </c>
      <c r="C1315" t="s">
        <v>1512</v>
      </c>
      <c r="D1315" t="s">
        <v>1513</v>
      </c>
      <c r="E1315" t="s">
        <v>1514</v>
      </c>
      <c r="F1315" t="s">
        <v>1515</v>
      </c>
      <c r="G1315" t="s">
        <v>1516</v>
      </c>
      <c r="H1315" t="s">
        <v>1517</v>
      </c>
      <c r="I1315" t="s">
        <v>1518</v>
      </c>
    </row>
    <row r="1316" spans="1:16">
      <c r="A1316" t="s">
        <v>2434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16">
      <c r="A1317" t="s">
        <v>2439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16">
      <c r="A1318" t="s">
        <v>2435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16">
      <c r="A1319" t="s">
        <v>2436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16">
      <c r="A1320" t="s">
        <v>2437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</row>
    <row r="1322" spans="1:16">
      <c r="B1322" t="s">
        <v>2442</v>
      </c>
      <c r="C1322">
        <v>1</v>
      </c>
      <c r="D1322">
        <v>1</v>
      </c>
      <c r="E1322">
        <v>1</v>
      </c>
    </row>
    <row r="1323" spans="1:16">
      <c r="B1323" t="s">
        <v>1508</v>
      </c>
    </row>
    <row r="1324" spans="1:16">
      <c r="A1324" t="s">
        <v>169</v>
      </c>
      <c r="B1324">
        <v>0</v>
      </c>
    </row>
    <row r="1326" spans="1:16">
      <c r="B1326" t="s">
        <v>2443</v>
      </c>
      <c r="C1326">
        <v>6</v>
      </c>
      <c r="D1326">
        <v>15</v>
      </c>
      <c r="E1326">
        <v>1</v>
      </c>
    </row>
    <row r="1327" spans="1:16">
      <c r="B1327" t="s">
        <v>2444</v>
      </c>
      <c r="C1327" t="s">
        <v>2445</v>
      </c>
      <c r="D1327" t="s">
        <v>2446</v>
      </c>
      <c r="E1327" t="s">
        <v>2447</v>
      </c>
      <c r="F1327" t="s">
        <v>2448</v>
      </c>
      <c r="G1327" t="s">
        <v>2449</v>
      </c>
      <c r="H1327" t="s">
        <v>2450</v>
      </c>
      <c r="I1327" t="s">
        <v>2451</v>
      </c>
      <c r="J1327" t="s">
        <v>2452</v>
      </c>
      <c r="K1327" t="s">
        <v>2453</v>
      </c>
      <c r="L1327" t="s">
        <v>2454</v>
      </c>
      <c r="M1327" t="s">
        <v>2455</v>
      </c>
      <c r="N1327" t="s">
        <v>2456</v>
      </c>
      <c r="O1327" t="s">
        <v>2457</v>
      </c>
      <c r="P1327" t="s">
        <v>2458</v>
      </c>
    </row>
    <row r="1328" spans="1:16">
      <c r="A1328" t="s">
        <v>2101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</row>
    <row r="1329" spans="1:16">
      <c r="A1329" t="s">
        <v>2102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</row>
    <row r="1330" spans="1:16">
      <c r="A1330" t="s">
        <v>2103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</row>
    <row r="1331" spans="1:16">
      <c r="A1331" t="s">
        <v>2104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</row>
    <row r="1332" spans="1:16">
      <c r="A1332" t="s">
        <v>2459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</row>
    <row r="1333" spans="1:16">
      <c r="A1333" t="s">
        <v>2460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</row>
    <row r="1335" spans="1:16">
      <c r="B1335" t="s">
        <v>2461</v>
      </c>
      <c r="C1335">
        <v>16</v>
      </c>
      <c r="D1335">
        <v>8</v>
      </c>
      <c r="E1335">
        <v>1</v>
      </c>
    </row>
    <row r="1336" spans="1:16">
      <c r="B1336" t="s">
        <v>1511</v>
      </c>
      <c r="C1336" t="s">
        <v>1512</v>
      </c>
      <c r="D1336" t="s">
        <v>1513</v>
      </c>
      <c r="E1336" t="s">
        <v>1514</v>
      </c>
      <c r="F1336" t="s">
        <v>1515</v>
      </c>
      <c r="G1336" t="s">
        <v>1516</v>
      </c>
      <c r="H1336" t="s">
        <v>1517</v>
      </c>
      <c r="I1336" t="s">
        <v>1518</v>
      </c>
    </row>
    <row r="1337" spans="1:16">
      <c r="A1337" t="s">
        <v>2462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</row>
    <row r="1338" spans="1:16">
      <c r="A1338" t="s">
        <v>111</v>
      </c>
      <c r="B1338" t="str">
        <f t="shared" ref="B1338:I1338" si="200">"Off"</f>
        <v>Off</v>
      </c>
      <c r="C1338" t="str">
        <f t="shared" si="200"/>
        <v>Off</v>
      </c>
      <c r="D1338" t="str">
        <f t="shared" si="200"/>
        <v>Off</v>
      </c>
      <c r="E1338" t="str">
        <f t="shared" si="200"/>
        <v>Off</v>
      </c>
      <c r="F1338" t="str">
        <f t="shared" si="200"/>
        <v>Off</v>
      </c>
      <c r="G1338" t="str">
        <f t="shared" si="200"/>
        <v>Off</v>
      </c>
      <c r="H1338" t="str">
        <f t="shared" si="200"/>
        <v>Off</v>
      </c>
      <c r="I1338" t="str">
        <f t="shared" si="200"/>
        <v>Off</v>
      </c>
    </row>
    <row r="1339" spans="1:16">
      <c r="A1339" t="s">
        <v>2463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</row>
    <row r="1340" spans="1:16">
      <c r="A1340" t="s">
        <v>2464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</row>
    <row r="1341" spans="1:16">
      <c r="A1341" t="s">
        <v>47</v>
      </c>
      <c r="B1341" t="str">
        <f t="shared" ref="B1341:I1344" si="201">"Off"</f>
        <v>Off</v>
      </c>
      <c r="C1341" t="str">
        <f t="shared" si="201"/>
        <v>Off</v>
      </c>
      <c r="D1341" t="str">
        <f t="shared" si="201"/>
        <v>Off</v>
      </c>
      <c r="E1341" t="str">
        <f t="shared" si="201"/>
        <v>Off</v>
      </c>
      <c r="F1341" t="str">
        <f t="shared" si="201"/>
        <v>Off</v>
      </c>
      <c r="G1341" t="str">
        <f t="shared" si="201"/>
        <v>Off</v>
      </c>
      <c r="H1341" t="str">
        <f t="shared" si="201"/>
        <v>Off</v>
      </c>
      <c r="I1341" t="str">
        <f t="shared" si="201"/>
        <v>Off</v>
      </c>
    </row>
    <row r="1342" spans="1:16">
      <c r="A1342" t="s">
        <v>113</v>
      </c>
      <c r="B1342" t="str">
        <f t="shared" si="201"/>
        <v>Off</v>
      </c>
      <c r="C1342" t="str">
        <f t="shared" si="201"/>
        <v>Off</v>
      </c>
      <c r="D1342" t="str">
        <f t="shared" si="201"/>
        <v>Off</v>
      </c>
      <c r="E1342" t="str">
        <f t="shared" si="201"/>
        <v>Off</v>
      </c>
      <c r="F1342" t="str">
        <f t="shared" si="201"/>
        <v>Off</v>
      </c>
      <c r="G1342" t="str">
        <f t="shared" si="201"/>
        <v>Off</v>
      </c>
      <c r="H1342" t="str">
        <f t="shared" si="201"/>
        <v>Off</v>
      </c>
      <c r="I1342" t="str">
        <f t="shared" si="201"/>
        <v>Off</v>
      </c>
    </row>
    <row r="1343" spans="1:16">
      <c r="A1343" t="s">
        <v>2465</v>
      </c>
      <c r="B1343" t="str">
        <f t="shared" si="201"/>
        <v>Off</v>
      </c>
      <c r="C1343" t="str">
        <f t="shared" si="201"/>
        <v>Off</v>
      </c>
      <c r="D1343" t="str">
        <f t="shared" si="201"/>
        <v>Off</v>
      </c>
      <c r="E1343" t="str">
        <f t="shared" si="201"/>
        <v>Off</v>
      </c>
      <c r="F1343" t="str">
        <f t="shared" si="201"/>
        <v>Off</v>
      </c>
      <c r="G1343" t="str">
        <f t="shared" si="201"/>
        <v>Off</v>
      </c>
      <c r="H1343" t="str">
        <f t="shared" si="201"/>
        <v>Off</v>
      </c>
      <c r="I1343" t="str">
        <f t="shared" si="201"/>
        <v>Off</v>
      </c>
    </row>
    <row r="1344" spans="1:16">
      <c r="A1344" t="s">
        <v>39</v>
      </c>
      <c r="B1344" t="str">
        <f t="shared" si="201"/>
        <v>Off</v>
      </c>
      <c r="C1344" t="str">
        <f t="shared" si="201"/>
        <v>Off</v>
      </c>
      <c r="D1344" t="str">
        <f t="shared" si="201"/>
        <v>Off</v>
      </c>
      <c r="E1344" t="str">
        <f t="shared" si="201"/>
        <v>Off</v>
      </c>
      <c r="F1344" t="str">
        <f t="shared" si="201"/>
        <v>Off</v>
      </c>
      <c r="G1344" t="str">
        <f t="shared" si="201"/>
        <v>Off</v>
      </c>
      <c r="H1344" t="str">
        <f t="shared" si="201"/>
        <v>Off</v>
      </c>
      <c r="I1344" t="str">
        <f t="shared" si="201"/>
        <v>Off</v>
      </c>
    </row>
    <row r="1345" spans="1:9">
      <c r="A1345" t="s">
        <v>150</v>
      </c>
      <c r="B1345" t="str">
        <f t="shared" ref="B1345:I1345" si="202">"OFF"</f>
        <v>OFF</v>
      </c>
      <c r="C1345" t="str">
        <f t="shared" si="202"/>
        <v>OFF</v>
      </c>
      <c r="D1345" t="str">
        <f t="shared" si="202"/>
        <v>OFF</v>
      </c>
      <c r="E1345" t="str">
        <f t="shared" si="202"/>
        <v>OFF</v>
      </c>
      <c r="F1345" t="str">
        <f t="shared" si="202"/>
        <v>OFF</v>
      </c>
      <c r="G1345" t="str">
        <f t="shared" si="202"/>
        <v>OFF</v>
      </c>
      <c r="H1345" t="str">
        <f t="shared" si="202"/>
        <v>OFF</v>
      </c>
      <c r="I1345" t="str">
        <f t="shared" si="202"/>
        <v>OFF</v>
      </c>
    </row>
    <row r="1346" spans="1:9">
      <c r="A1346" t="s">
        <v>2466</v>
      </c>
      <c r="B1346" t="str">
        <f t="shared" ref="B1346:I1352" si="203">"Off"</f>
        <v>Off</v>
      </c>
      <c r="C1346" t="str">
        <f t="shared" si="203"/>
        <v>Off</v>
      </c>
      <c r="D1346" t="str">
        <f t="shared" si="203"/>
        <v>Off</v>
      </c>
      <c r="E1346" t="str">
        <f t="shared" si="203"/>
        <v>Off</v>
      </c>
      <c r="F1346" t="str">
        <f t="shared" si="203"/>
        <v>Off</v>
      </c>
      <c r="G1346" t="str">
        <f t="shared" si="203"/>
        <v>Off</v>
      </c>
      <c r="H1346" t="str">
        <f t="shared" si="203"/>
        <v>Off</v>
      </c>
      <c r="I1346" t="str">
        <f t="shared" si="203"/>
        <v>Off</v>
      </c>
    </row>
    <row r="1347" spans="1:9">
      <c r="A1347" t="s">
        <v>125</v>
      </c>
      <c r="B1347" t="str">
        <f t="shared" si="203"/>
        <v>Off</v>
      </c>
      <c r="C1347" t="str">
        <f t="shared" si="203"/>
        <v>Off</v>
      </c>
      <c r="D1347" t="str">
        <f t="shared" si="203"/>
        <v>Off</v>
      </c>
      <c r="E1347" t="str">
        <f t="shared" si="203"/>
        <v>Off</v>
      </c>
      <c r="F1347" t="str">
        <f t="shared" si="203"/>
        <v>Off</v>
      </c>
      <c r="G1347" t="str">
        <f t="shared" si="203"/>
        <v>Off</v>
      </c>
      <c r="H1347" t="str">
        <f t="shared" si="203"/>
        <v>Off</v>
      </c>
      <c r="I1347" t="str">
        <f t="shared" si="203"/>
        <v>Off</v>
      </c>
    </row>
    <row r="1348" spans="1:9">
      <c r="A1348" t="s">
        <v>126</v>
      </c>
      <c r="B1348" t="str">
        <f t="shared" si="203"/>
        <v>Off</v>
      </c>
      <c r="C1348" t="str">
        <f t="shared" si="203"/>
        <v>Off</v>
      </c>
      <c r="D1348" t="str">
        <f t="shared" si="203"/>
        <v>Off</v>
      </c>
      <c r="E1348" t="str">
        <f t="shared" si="203"/>
        <v>Off</v>
      </c>
      <c r="F1348" t="str">
        <f t="shared" si="203"/>
        <v>Off</v>
      </c>
      <c r="G1348" t="str">
        <f t="shared" si="203"/>
        <v>Off</v>
      </c>
      <c r="H1348" t="str">
        <f t="shared" si="203"/>
        <v>Off</v>
      </c>
      <c r="I1348" t="str">
        <f t="shared" si="203"/>
        <v>Off</v>
      </c>
    </row>
    <row r="1349" spans="1:9">
      <c r="A1349" t="s">
        <v>48</v>
      </c>
      <c r="B1349" t="str">
        <f t="shared" si="203"/>
        <v>Off</v>
      </c>
      <c r="C1349" t="str">
        <f t="shared" si="203"/>
        <v>Off</v>
      </c>
      <c r="D1349" t="str">
        <f t="shared" si="203"/>
        <v>Off</v>
      </c>
      <c r="E1349" t="str">
        <f t="shared" si="203"/>
        <v>Off</v>
      </c>
      <c r="F1349" t="str">
        <f t="shared" si="203"/>
        <v>Off</v>
      </c>
      <c r="G1349" t="str">
        <f t="shared" si="203"/>
        <v>Off</v>
      </c>
      <c r="H1349" t="str">
        <f t="shared" si="203"/>
        <v>Off</v>
      </c>
      <c r="I1349" t="str">
        <f t="shared" si="203"/>
        <v>Off</v>
      </c>
    </row>
    <row r="1350" spans="1:9">
      <c r="A1350" t="s">
        <v>121</v>
      </c>
      <c r="B1350" t="str">
        <f t="shared" si="203"/>
        <v>Off</v>
      </c>
      <c r="C1350" t="str">
        <f t="shared" si="203"/>
        <v>Off</v>
      </c>
      <c r="D1350" t="str">
        <f t="shared" si="203"/>
        <v>Off</v>
      </c>
      <c r="E1350" t="str">
        <f t="shared" si="203"/>
        <v>Off</v>
      </c>
      <c r="F1350" t="str">
        <f t="shared" si="203"/>
        <v>Off</v>
      </c>
      <c r="G1350" t="str">
        <f t="shared" si="203"/>
        <v>Off</v>
      </c>
      <c r="H1350" t="str">
        <f t="shared" si="203"/>
        <v>Off</v>
      </c>
      <c r="I1350" t="str">
        <f t="shared" si="203"/>
        <v>Off</v>
      </c>
    </row>
    <row r="1351" spans="1:9">
      <c r="A1351" t="s">
        <v>2467</v>
      </c>
      <c r="B1351" t="str">
        <f t="shared" si="203"/>
        <v>Off</v>
      </c>
      <c r="C1351" t="str">
        <f t="shared" si="203"/>
        <v>Off</v>
      </c>
      <c r="D1351" t="str">
        <f t="shared" si="203"/>
        <v>Off</v>
      </c>
      <c r="E1351" t="str">
        <f t="shared" si="203"/>
        <v>Off</v>
      </c>
      <c r="F1351" t="str">
        <f t="shared" si="203"/>
        <v>Off</v>
      </c>
      <c r="G1351" t="str">
        <f t="shared" si="203"/>
        <v>Off</v>
      </c>
      <c r="H1351" t="str">
        <f t="shared" si="203"/>
        <v>Off</v>
      </c>
      <c r="I1351" t="str">
        <f t="shared" si="203"/>
        <v>Off</v>
      </c>
    </row>
    <row r="1352" spans="1:9">
      <c r="A1352" t="s">
        <v>123</v>
      </c>
      <c r="B1352" t="str">
        <f t="shared" si="203"/>
        <v>Off</v>
      </c>
      <c r="C1352" t="str">
        <f t="shared" si="203"/>
        <v>Off</v>
      </c>
      <c r="D1352" t="str">
        <f t="shared" si="203"/>
        <v>Off</v>
      </c>
      <c r="E1352" t="str">
        <f t="shared" si="203"/>
        <v>Off</v>
      </c>
      <c r="F1352" t="str">
        <f t="shared" si="203"/>
        <v>Off</v>
      </c>
      <c r="G1352" t="str">
        <f t="shared" si="203"/>
        <v>Off</v>
      </c>
      <c r="H1352" t="str">
        <f t="shared" si="203"/>
        <v>Off</v>
      </c>
      <c r="I1352" t="str">
        <f t="shared" si="203"/>
        <v>Off</v>
      </c>
    </row>
    <row r="1354" spans="1:9">
      <c r="B1354" t="s">
        <v>2468</v>
      </c>
      <c r="C1354">
        <v>16</v>
      </c>
      <c r="D1354">
        <v>8</v>
      </c>
      <c r="E1354">
        <v>1</v>
      </c>
    </row>
    <row r="1355" spans="1:9">
      <c r="B1355" t="s">
        <v>1511</v>
      </c>
      <c r="C1355" t="s">
        <v>1512</v>
      </c>
      <c r="D1355" t="s">
        <v>1513</v>
      </c>
      <c r="E1355" t="s">
        <v>1514</v>
      </c>
      <c r="F1355" t="s">
        <v>1515</v>
      </c>
      <c r="G1355" t="s">
        <v>1516</v>
      </c>
      <c r="H1355" t="s">
        <v>1517</v>
      </c>
      <c r="I1355" t="s">
        <v>1518</v>
      </c>
    </row>
    <row r="1356" spans="1:9">
      <c r="A1356" t="s">
        <v>2462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</row>
    <row r="1357" spans="1:9">
      <c r="A1357" t="s">
        <v>111</v>
      </c>
      <c r="B1357" t="str">
        <f t="shared" ref="B1357:I1357" si="204">"Off"</f>
        <v>Off</v>
      </c>
      <c r="C1357" t="str">
        <f t="shared" si="204"/>
        <v>Off</v>
      </c>
      <c r="D1357" t="str">
        <f t="shared" si="204"/>
        <v>Off</v>
      </c>
      <c r="E1357" t="str">
        <f t="shared" si="204"/>
        <v>Off</v>
      </c>
      <c r="F1357" t="str">
        <f t="shared" si="204"/>
        <v>Off</v>
      </c>
      <c r="G1357" t="str">
        <f t="shared" si="204"/>
        <v>Off</v>
      </c>
      <c r="H1357" t="str">
        <f t="shared" si="204"/>
        <v>Off</v>
      </c>
      <c r="I1357" t="str">
        <f t="shared" si="204"/>
        <v>Off</v>
      </c>
    </row>
    <row r="1358" spans="1:9">
      <c r="A1358" t="s">
        <v>2463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</row>
    <row r="1359" spans="1:9">
      <c r="A1359" t="s">
        <v>2464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0</v>
      </c>
    </row>
    <row r="1360" spans="1:9">
      <c r="A1360" t="s">
        <v>47</v>
      </c>
      <c r="B1360" t="str">
        <f t="shared" ref="B1360:I1363" si="205">"Off"</f>
        <v>Off</v>
      </c>
      <c r="C1360" t="str">
        <f t="shared" si="205"/>
        <v>Off</v>
      </c>
      <c r="D1360" t="str">
        <f t="shared" si="205"/>
        <v>Off</v>
      </c>
      <c r="E1360" t="str">
        <f t="shared" si="205"/>
        <v>Off</v>
      </c>
      <c r="F1360" t="str">
        <f t="shared" si="205"/>
        <v>Off</v>
      </c>
      <c r="G1360" t="str">
        <f t="shared" si="205"/>
        <v>Off</v>
      </c>
      <c r="H1360" t="str">
        <f t="shared" si="205"/>
        <v>Off</v>
      </c>
      <c r="I1360" t="str">
        <f t="shared" si="205"/>
        <v>Off</v>
      </c>
    </row>
    <row r="1361" spans="1:9">
      <c r="A1361" t="s">
        <v>113</v>
      </c>
      <c r="B1361" t="str">
        <f t="shared" si="205"/>
        <v>Off</v>
      </c>
      <c r="C1361" t="str">
        <f t="shared" si="205"/>
        <v>Off</v>
      </c>
      <c r="D1361" t="str">
        <f t="shared" si="205"/>
        <v>Off</v>
      </c>
      <c r="E1361" t="str">
        <f t="shared" si="205"/>
        <v>Off</v>
      </c>
      <c r="F1361" t="str">
        <f t="shared" si="205"/>
        <v>Off</v>
      </c>
      <c r="G1361" t="str">
        <f t="shared" si="205"/>
        <v>Off</v>
      </c>
      <c r="H1361" t="str">
        <f t="shared" si="205"/>
        <v>Off</v>
      </c>
      <c r="I1361" t="str">
        <f t="shared" si="205"/>
        <v>Off</v>
      </c>
    </row>
    <row r="1362" spans="1:9">
      <c r="A1362" t="s">
        <v>2465</v>
      </c>
      <c r="B1362" t="str">
        <f t="shared" si="205"/>
        <v>Off</v>
      </c>
      <c r="C1362" t="str">
        <f t="shared" si="205"/>
        <v>Off</v>
      </c>
      <c r="D1362" t="str">
        <f t="shared" si="205"/>
        <v>Off</v>
      </c>
      <c r="E1362" t="str">
        <f t="shared" si="205"/>
        <v>Off</v>
      </c>
      <c r="F1362" t="str">
        <f t="shared" si="205"/>
        <v>Off</v>
      </c>
      <c r="G1362" t="str">
        <f t="shared" si="205"/>
        <v>Off</v>
      </c>
      <c r="H1362" t="str">
        <f t="shared" si="205"/>
        <v>Off</v>
      </c>
      <c r="I1362" t="str">
        <f t="shared" si="205"/>
        <v>Off</v>
      </c>
    </row>
    <row r="1363" spans="1:9">
      <c r="A1363" t="s">
        <v>39</v>
      </c>
      <c r="B1363" t="str">
        <f t="shared" si="205"/>
        <v>Off</v>
      </c>
      <c r="C1363" t="str">
        <f t="shared" si="205"/>
        <v>Off</v>
      </c>
      <c r="D1363" t="str">
        <f t="shared" si="205"/>
        <v>Off</v>
      </c>
      <c r="E1363" t="str">
        <f t="shared" si="205"/>
        <v>Off</v>
      </c>
      <c r="F1363" t="str">
        <f t="shared" si="205"/>
        <v>Off</v>
      </c>
      <c r="G1363" t="str">
        <f t="shared" si="205"/>
        <v>Off</v>
      </c>
      <c r="H1363" t="str">
        <f t="shared" si="205"/>
        <v>Off</v>
      </c>
      <c r="I1363" t="str">
        <f t="shared" si="205"/>
        <v>Off</v>
      </c>
    </row>
    <row r="1364" spans="1:9">
      <c r="A1364" t="s">
        <v>150</v>
      </c>
      <c r="B1364" t="str">
        <f t="shared" ref="B1364:I1364" si="206">"OFF"</f>
        <v>OFF</v>
      </c>
      <c r="C1364" t="str">
        <f t="shared" si="206"/>
        <v>OFF</v>
      </c>
      <c r="D1364" t="str">
        <f t="shared" si="206"/>
        <v>OFF</v>
      </c>
      <c r="E1364" t="str">
        <f t="shared" si="206"/>
        <v>OFF</v>
      </c>
      <c r="F1364" t="str">
        <f t="shared" si="206"/>
        <v>OFF</v>
      </c>
      <c r="G1364" t="str">
        <f t="shared" si="206"/>
        <v>OFF</v>
      </c>
      <c r="H1364" t="str">
        <f t="shared" si="206"/>
        <v>OFF</v>
      </c>
      <c r="I1364" t="str">
        <f t="shared" si="206"/>
        <v>OFF</v>
      </c>
    </row>
    <row r="1365" spans="1:9">
      <c r="A1365" t="s">
        <v>2466</v>
      </c>
      <c r="B1365" t="str">
        <f t="shared" ref="B1365:I1371" si="207">"Off"</f>
        <v>Off</v>
      </c>
      <c r="C1365" t="str">
        <f t="shared" si="207"/>
        <v>Off</v>
      </c>
      <c r="D1365" t="str">
        <f t="shared" si="207"/>
        <v>Off</v>
      </c>
      <c r="E1365" t="str">
        <f t="shared" si="207"/>
        <v>Off</v>
      </c>
      <c r="F1365" t="str">
        <f t="shared" si="207"/>
        <v>Off</v>
      </c>
      <c r="G1365" t="str">
        <f t="shared" si="207"/>
        <v>Off</v>
      </c>
      <c r="H1365" t="str">
        <f t="shared" si="207"/>
        <v>Off</v>
      </c>
      <c r="I1365" t="str">
        <f t="shared" si="207"/>
        <v>Off</v>
      </c>
    </row>
    <row r="1366" spans="1:9">
      <c r="A1366" t="s">
        <v>125</v>
      </c>
      <c r="B1366" t="str">
        <f t="shared" si="207"/>
        <v>Off</v>
      </c>
      <c r="C1366" t="str">
        <f t="shared" si="207"/>
        <v>Off</v>
      </c>
      <c r="D1366" t="str">
        <f t="shared" si="207"/>
        <v>Off</v>
      </c>
      <c r="E1366" t="str">
        <f t="shared" si="207"/>
        <v>Off</v>
      </c>
      <c r="F1366" t="str">
        <f t="shared" si="207"/>
        <v>Off</v>
      </c>
      <c r="G1366" t="str">
        <f t="shared" si="207"/>
        <v>Off</v>
      </c>
      <c r="H1366" t="str">
        <f t="shared" si="207"/>
        <v>Off</v>
      </c>
      <c r="I1366" t="str">
        <f t="shared" si="207"/>
        <v>Off</v>
      </c>
    </row>
    <row r="1367" spans="1:9">
      <c r="A1367" t="s">
        <v>126</v>
      </c>
      <c r="B1367" t="str">
        <f t="shared" si="207"/>
        <v>Off</v>
      </c>
      <c r="C1367" t="str">
        <f t="shared" si="207"/>
        <v>Off</v>
      </c>
      <c r="D1367" t="str">
        <f t="shared" si="207"/>
        <v>Off</v>
      </c>
      <c r="E1367" t="str">
        <f t="shared" si="207"/>
        <v>Off</v>
      </c>
      <c r="F1367" t="str">
        <f t="shared" si="207"/>
        <v>Off</v>
      </c>
      <c r="G1367" t="str">
        <f t="shared" si="207"/>
        <v>Off</v>
      </c>
      <c r="H1367" t="str">
        <f t="shared" si="207"/>
        <v>Off</v>
      </c>
      <c r="I1367" t="str">
        <f t="shared" si="207"/>
        <v>Off</v>
      </c>
    </row>
    <row r="1368" spans="1:9">
      <c r="A1368" t="s">
        <v>48</v>
      </c>
      <c r="B1368" t="str">
        <f t="shared" si="207"/>
        <v>Off</v>
      </c>
      <c r="C1368" t="str">
        <f t="shared" si="207"/>
        <v>Off</v>
      </c>
      <c r="D1368" t="str">
        <f t="shared" si="207"/>
        <v>Off</v>
      </c>
      <c r="E1368" t="str">
        <f t="shared" si="207"/>
        <v>Off</v>
      </c>
      <c r="F1368" t="str">
        <f t="shared" si="207"/>
        <v>Off</v>
      </c>
      <c r="G1368" t="str">
        <f t="shared" si="207"/>
        <v>Off</v>
      </c>
      <c r="H1368" t="str">
        <f t="shared" si="207"/>
        <v>Off</v>
      </c>
      <c r="I1368" t="str">
        <f t="shared" si="207"/>
        <v>Off</v>
      </c>
    </row>
    <row r="1369" spans="1:9">
      <c r="A1369" t="s">
        <v>121</v>
      </c>
      <c r="B1369" t="str">
        <f t="shared" si="207"/>
        <v>Off</v>
      </c>
      <c r="C1369" t="str">
        <f t="shared" si="207"/>
        <v>Off</v>
      </c>
      <c r="D1369" t="str">
        <f t="shared" si="207"/>
        <v>Off</v>
      </c>
      <c r="E1369" t="str">
        <f t="shared" si="207"/>
        <v>Off</v>
      </c>
      <c r="F1369" t="str">
        <f t="shared" si="207"/>
        <v>Off</v>
      </c>
      <c r="G1369" t="str">
        <f t="shared" si="207"/>
        <v>Off</v>
      </c>
      <c r="H1369" t="str">
        <f t="shared" si="207"/>
        <v>Off</v>
      </c>
      <c r="I1369" t="str">
        <f t="shared" si="207"/>
        <v>Off</v>
      </c>
    </row>
    <row r="1370" spans="1:9">
      <c r="A1370" t="s">
        <v>2467</v>
      </c>
      <c r="B1370" t="str">
        <f t="shared" si="207"/>
        <v>Off</v>
      </c>
      <c r="C1370" t="str">
        <f t="shared" si="207"/>
        <v>Off</v>
      </c>
      <c r="D1370" t="str">
        <f t="shared" si="207"/>
        <v>Off</v>
      </c>
      <c r="E1370" t="str">
        <f t="shared" si="207"/>
        <v>Off</v>
      </c>
      <c r="F1370" t="str">
        <f t="shared" si="207"/>
        <v>Off</v>
      </c>
      <c r="G1370" t="str">
        <f t="shared" si="207"/>
        <v>Off</v>
      </c>
      <c r="H1370" t="str">
        <f t="shared" si="207"/>
        <v>Off</v>
      </c>
      <c r="I1370" t="str">
        <f t="shared" si="207"/>
        <v>Off</v>
      </c>
    </row>
    <row r="1371" spans="1:9">
      <c r="A1371" t="s">
        <v>123</v>
      </c>
      <c r="B1371" t="str">
        <f t="shared" si="207"/>
        <v>Off</v>
      </c>
      <c r="C1371" t="str">
        <f t="shared" si="207"/>
        <v>Off</v>
      </c>
      <c r="D1371" t="str">
        <f t="shared" si="207"/>
        <v>Off</v>
      </c>
      <c r="E1371" t="str">
        <f t="shared" si="207"/>
        <v>Off</v>
      </c>
      <c r="F1371" t="str">
        <f t="shared" si="207"/>
        <v>Off</v>
      </c>
      <c r="G1371" t="str">
        <f t="shared" si="207"/>
        <v>Off</v>
      </c>
      <c r="H1371" t="str">
        <f t="shared" si="207"/>
        <v>Off</v>
      </c>
      <c r="I1371" t="str">
        <f t="shared" si="207"/>
        <v>Off</v>
      </c>
    </row>
    <row r="1373" spans="1:9">
      <c r="B1373" t="s">
        <v>2469</v>
      </c>
      <c r="C1373">
        <v>16</v>
      </c>
      <c r="D1373">
        <v>8</v>
      </c>
      <c r="E1373">
        <v>1</v>
      </c>
    </row>
    <row r="1374" spans="1:9">
      <c r="B1374" t="s">
        <v>1511</v>
      </c>
      <c r="C1374" t="s">
        <v>1512</v>
      </c>
      <c r="D1374" t="s">
        <v>1513</v>
      </c>
      <c r="E1374" t="s">
        <v>1514</v>
      </c>
      <c r="F1374" t="s">
        <v>1515</v>
      </c>
      <c r="G1374" t="s">
        <v>1516</v>
      </c>
      <c r="H1374" t="s">
        <v>1517</v>
      </c>
      <c r="I1374" t="s">
        <v>1518</v>
      </c>
    </row>
    <row r="1375" spans="1:9">
      <c r="A1375" t="s">
        <v>2462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</row>
    <row r="1376" spans="1:9">
      <c r="A1376" t="s">
        <v>111</v>
      </c>
      <c r="B1376" t="str">
        <f t="shared" ref="B1376:I1376" si="208">"Off"</f>
        <v>Off</v>
      </c>
      <c r="C1376" t="str">
        <f t="shared" si="208"/>
        <v>Off</v>
      </c>
      <c r="D1376" t="str">
        <f t="shared" si="208"/>
        <v>Off</v>
      </c>
      <c r="E1376" t="str">
        <f t="shared" si="208"/>
        <v>Off</v>
      </c>
      <c r="F1376" t="str">
        <f t="shared" si="208"/>
        <v>Off</v>
      </c>
      <c r="G1376" t="str">
        <f t="shared" si="208"/>
        <v>Off</v>
      </c>
      <c r="H1376" t="str">
        <f t="shared" si="208"/>
        <v>Off</v>
      </c>
      <c r="I1376" t="str">
        <f t="shared" si="208"/>
        <v>Off</v>
      </c>
    </row>
    <row r="1377" spans="1:9">
      <c r="A1377" t="s">
        <v>2463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</row>
    <row r="1378" spans="1:9">
      <c r="A1378" t="s">
        <v>2464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</row>
    <row r="1379" spans="1:9">
      <c r="A1379" t="s">
        <v>47</v>
      </c>
      <c r="B1379" t="str">
        <f t="shared" ref="B1379:I1382" si="209">"Off"</f>
        <v>Off</v>
      </c>
      <c r="C1379" t="str">
        <f t="shared" si="209"/>
        <v>Off</v>
      </c>
      <c r="D1379" t="str">
        <f t="shared" si="209"/>
        <v>Off</v>
      </c>
      <c r="E1379" t="str">
        <f t="shared" si="209"/>
        <v>Off</v>
      </c>
      <c r="F1379" t="str">
        <f t="shared" si="209"/>
        <v>Off</v>
      </c>
      <c r="G1379" t="str">
        <f t="shared" si="209"/>
        <v>Off</v>
      </c>
      <c r="H1379" t="str">
        <f t="shared" si="209"/>
        <v>Off</v>
      </c>
      <c r="I1379" t="str">
        <f t="shared" si="209"/>
        <v>Off</v>
      </c>
    </row>
    <row r="1380" spans="1:9">
      <c r="A1380" t="s">
        <v>113</v>
      </c>
      <c r="B1380" t="str">
        <f t="shared" si="209"/>
        <v>Off</v>
      </c>
      <c r="C1380" t="str">
        <f t="shared" si="209"/>
        <v>Off</v>
      </c>
      <c r="D1380" t="str">
        <f t="shared" si="209"/>
        <v>Off</v>
      </c>
      <c r="E1380" t="str">
        <f t="shared" si="209"/>
        <v>Off</v>
      </c>
      <c r="F1380" t="str">
        <f t="shared" si="209"/>
        <v>Off</v>
      </c>
      <c r="G1380" t="str">
        <f t="shared" si="209"/>
        <v>Off</v>
      </c>
      <c r="H1380" t="str">
        <f t="shared" si="209"/>
        <v>Off</v>
      </c>
      <c r="I1380" t="str">
        <f t="shared" si="209"/>
        <v>Off</v>
      </c>
    </row>
    <row r="1381" spans="1:9">
      <c r="A1381" t="s">
        <v>2465</v>
      </c>
      <c r="B1381" t="str">
        <f t="shared" si="209"/>
        <v>Off</v>
      </c>
      <c r="C1381" t="str">
        <f t="shared" si="209"/>
        <v>Off</v>
      </c>
      <c r="D1381" t="str">
        <f t="shared" si="209"/>
        <v>Off</v>
      </c>
      <c r="E1381" t="str">
        <f t="shared" si="209"/>
        <v>Off</v>
      </c>
      <c r="F1381" t="str">
        <f t="shared" si="209"/>
        <v>Off</v>
      </c>
      <c r="G1381" t="str">
        <f t="shared" si="209"/>
        <v>Off</v>
      </c>
      <c r="H1381" t="str">
        <f t="shared" si="209"/>
        <v>Off</v>
      </c>
      <c r="I1381" t="str">
        <f t="shared" si="209"/>
        <v>Off</v>
      </c>
    </row>
    <row r="1382" spans="1:9">
      <c r="A1382" t="s">
        <v>39</v>
      </c>
      <c r="B1382" t="str">
        <f t="shared" si="209"/>
        <v>Off</v>
      </c>
      <c r="C1382" t="str">
        <f t="shared" si="209"/>
        <v>Off</v>
      </c>
      <c r="D1382" t="str">
        <f t="shared" si="209"/>
        <v>Off</v>
      </c>
      <c r="E1382" t="str">
        <f t="shared" si="209"/>
        <v>Off</v>
      </c>
      <c r="F1382" t="str">
        <f t="shared" si="209"/>
        <v>Off</v>
      </c>
      <c r="G1382" t="str">
        <f t="shared" si="209"/>
        <v>Off</v>
      </c>
      <c r="H1382" t="str">
        <f t="shared" si="209"/>
        <v>Off</v>
      </c>
      <c r="I1382" t="str">
        <f t="shared" si="209"/>
        <v>Off</v>
      </c>
    </row>
    <row r="1383" spans="1:9">
      <c r="A1383" t="s">
        <v>150</v>
      </c>
      <c r="B1383" t="str">
        <f t="shared" ref="B1383:I1383" si="210">"OFF"</f>
        <v>OFF</v>
      </c>
      <c r="C1383" t="str">
        <f t="shared" si="210"/>
        <v>OFF</v>
      </c>
      <c r="D1383" t="str">
        <f t="shared" si="210"/>
        <v>OFF</v>
      </c>
      <c r="E1383" t="str">
        <f t="shared" si="210"/>
        <v>OFF</v>
      </c>
      <c r="F1383" t="str">
        <f t="shared" si="210"/>
        <v>OFF</v>
      </c>
      <c r="G1383" t="str">
        <f t="shared" si="210"/>
        <v>OFF</v>
      </c>
      <c r="H1383" t="str">
        <f t="shared" si="210"/>
        <v>OFF</v>
      </c>
      <c r="I1383" t="str">
        <f t="shared" si="210"/>
        <v>OFF</v>
      </c>
    </row>
    <row r="1384" spans="1:9">
      <c r="A1384" t="s">
        <v>2466</v>
      </c>
      <c r="B1384" t="str">
        <f t="shared" ref="B1384:I1390" si="211">"Off"</f>
        <v>Off</v>
      </c>
      <c r="C1384" t="str">
        <f t="shared" si="211"/>
        <v>Off</v>
      </c>
      <c r="D1384" t="str">
        <f t="shared" si="211"/>
        <v>Off</v>
      </c>
      <c r="E1384" t="str">
        <f t="shared" si="211"/>
        <v>Off</v>
      </c>
      <c r="F1384" t="str">
        <f t="shared" si="211"/>
        <v>Off</v>
      </c>
      <c r="G1384" t="str">
        <f t="shared" si="211"/>
        <v>Off</v>
      </c>
      <c r="H1384" t="str">
        <f t="shared" si="211"/>
        <v>Off</v>
      </c>
      <c r="I1384" t="str">
        <f t="shared" si="211"/>
        <v>Off</v>
      </c>
    </row>
    <row r="1385" spans="1:9">
      <c r="A1385" t="s">
        <v>125</v>
      </c>
      <c r="B1385" t="str">
        <f t="shared" si="211"/>
        <v>Off</v>
      </c>
      <c r="C1385" t="str">
        <f t="shared" si="211"/>
        <v>Off</v>
      </c>
      <c r="D1385" t="str">
        <f t="shared" si="211"/>
        <v>Off</v>
      </c>
      <c r="E1385" t="str">
        <f t="shared" si="211"/>
        <v>Off</v>
      </c>
      <c r="F1385" t="str">
        <f t="shared" si="211"/>
        <v>Off</v>
      </c>
      <c r="G1385" t="str">
        <f t="shared" si="211"/>
        <v>Off</v>
      </c>
      <c r="H1385" t="str">
        <f t="shared" si="211"/>
        <v>Off</v>
      </c>
      <c r="I1385" t="str">
        <f t="shared" si="211"/>
        <v>Off</v>
      </c>
    </row>
    <row r="1386" spans="1:9">
      <c r="A1386" t="s">
        <v>126</v>
      </c>
      <c r="B1386" t="str">
        <f t="shared" si="211"/>
        <v>Off</v>
      </c>
      <c r="C1386" t="str">
        <f t="shared" si="211"/>
        <v>Off</v>
      </c>
      <c r="D1386" t="str">
        <f t="shared" si="211"/>
        <v>Off</v>
      </c>
      <c r="E1386" t="str">
        <f t="shared" si="211"/>
        <v>Off</v>
      </c>
      <c r="F1386" t="str">
        <f t="shared" si="211"/>
        <v>Off</v>
      </c>
      <c r="G1386" t="str">
        <f t="shared" si="211"/>
        <v>Off</v>
      </c>
      <c r="H1386" t="str">
        <f t="shared" si="211"/>
        <v>Off</v>
      </c>
      <c r="I1386" t="str">
        <f t="shared" si="211"/>
        <v>Off</v>
      </c>
    </row>
    <row r="1387" spans="1:9">
      <c r="A1387" t="s">
        <v>48</v>
      </c>
      <c r="B1387" t="str">
        <f t="shared" si="211"/>
        <v>Off</v>
      </c>
      <c r="C1387" t="str">
        <f t="shared" si="211"/>
        <v>Off</v>
      </c>
      <c r="D1387" t="str">
        <f t="shared" si="211"/>
        <v>Off</v>
      </c>
      <c r="E1387" t="str">
        <f t="shared" si="211"/>
        <v>Off</v>
      </c>
      <c r="F1387" t="str">
        <f t="shared" si="211"/>
        <v>Off</v>
      </c>
      <c r="G1387" t="str">
        <f t="shared" si="211"/>
        <v>Off</v>
      </c>
      <c r="H1387" t="str">
        <f t="shared" si="211"/>
        <v>Off</v>
      </c>
      <c r="I1387" t="str">
        <f t="shared" si="211"/>
        <v>Off</v>
      </c>
    </row>
    <row r="1388" spans="1:9">
      <c r="A1388" t="s">
        <v>121</v>
      </c>
      <c r="B1388" t="str">
        <f t="shared" si="211"/>
        <v>Off</v>
      </c>
      <c r="C1388" t="str">
        <f t="shared" si="211"/>
        <v>Off</v>
      </c>
      <c r="D1388" t="str">
        <f t="shared" si="211"/>
        <v>Off</v>
      </c>
      <c r="E1388" t="str">
        <f t="shared" si="211"/>
        <v>Off</v>
      </c>
      <c r="F1388" t="str">
        <f t="shared" si="211"/>
        <v>Off</v>
      </c>
      <c r="G1388" t="str">
        <f t="shared" si="211"/>
        <v>Off</v>
      </c>
      <c r="H1388" t="str">
        <f t="shared" si="211"/>
        <v>Off</v>
      </c>
      <c r="I1388" t="str">
        <f t="shared" si="211"/>
        <v>Off</v>
      </c>
    </row>
    <row r="1389" spans="1:9">
      <c r="A1389" t="s">
        <v>2467</v>
      </c>
      <c r="B1389" t="str">
        <f t="shared" si="211"/>
        <v>Off</v>
      </c>
      <c r="C1389" t="str">
        <f t="shared" si="211"/>
        <v>Off</v>
      </c>
      <c r="D1389" t="str">
        <f t="shared" si="211"/>
        <v>Off</v>
      </c>
      <c r="E1389" t="str">
        <f t="shared" si="211"/>
        <v>Off</v>
      </c>
      <c r="F1389" t="str">
        <f t="shared" si="211"/>
        <v>Off</v>
      </c>
      <c r="G1389" t="str">
        <f t="shared" si="211"/>
        <v>Off</v>
      </c>
      <c r="H1389" t="str">
        <f t="shared" si="211"/>
        <v>Off</v>
      </c>
      <c r="I1389" t="str">
        <f t="shared" si="211"/>
        <v>Off</v>
      </c>
    </row>
    <row r="1390" spans="1:9">
      <c r="A1390" t="s">
        <v>123</v>
      </c>
      <c r="B1390" t="str">
        <f t="shared" si="211"/>
        <v>Off</v>
      </c>
      <c r="C1390" t="str">
        <f t="shared" si="211"/>
        <v>Off</v>
      </c>
      <c r="D1390" t="str">
        <f t="shared" si="211"/>
        <v>Off</v>
      </c>
      <c r="E1390" t="str">
        <f t="shared" si="211"/>
        <v>Off</v>
      </c>
      <c r="F1390" t="str">
        <f t="shared" si="211"/>
        <v>Off</v>
      </c>
      <c r="G1390" t="str">
        <f t="shared" si="211"/>
        <v>Off</v>
      </c>
      <c r="H1390" t="str">
        <f t="shared" si="211"/>
        <v>Off</v>
      </c>
      <c r="I1390" t="str">
        <f t="shared" si="211"/>
        <v>Off</v>
      </c>
    </row>
    <row r="1392" spans="1:9">
      <c r="B1392" t="s">
        <v>2470</v>
      </c>
      <c r="C1392">
        <v>16</v>
      </c>
      <c r="D1392">
        <v>8</v>
      </c>
      <c r="E1392">
        <v>1</v>
      </c>
    </row>
    <row r="1393" spans="1:9">
      <c r="B1393" t="s">
        <v>1511</v>
      </c>
      <c r="C1393" t="s">
        <v>1512</v>
      </c>
      <c r="D1393" t="s">
        <v>1513</v>
      </c>
      <c r="E1393" t="s">
        <v>1514</v>
      </c>
      <c r="F1393" t="s">
        <v>1515</v>
      </c>
      <c r="G1393" t="s">
        <v>1516</v>
      </c>
      <c r="H1393" t="s">
        <v>1517</v>
      </c>
      <c r="I1393" t="s">
        <v>1518</v>
      </c>
    </row>
    <row r="1394" spans="1:9">
      <c r="A1394" t="s">
        <v>2462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</row>
    <row r="1395" spans="1:9">
      <c r="A1395" t="s">
        <v>111</v>
      </c>
      <c r="B1395" t="str">
        <f t="shared" ref="B1395:I1395" si="212">"Off"</f>
        <v>Off</v>
      </c>
      <c r="C1395" t="str">
        <f t="shared" si="212"/>
        <v>Off</v>
      </c>
      <c r="D1395" t="str">
        <f t="shared" si="212"/>
        <v>Off</v>
      </c>
      <c r="E1395" t="str">
        <f t="shared" si="212"/>
        <v>Off</v>
      </c>
      <c r="F1395" t="str">
        <f t="shared" si="212"/>
        <v>Off</v>
      </c>
      <c r="G1395" t="str">
        <f t="shared" si="212"/>
        <v>Off</v>
      </c>
      <c r="H1395" t="str">
        <f t="shared" si="212"/>
        <v>Off</v>
      </c>
      <c r="I1395" t="str">
        <f t="shared" si="212"/>
        <v>Off</v>
      </c>
    </row>
    <row r="1396" spans="1:9">
      <c r="A1396" t="s">
        <v>2463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</row>
    <row r="1397" spans="1:9">
      <c r="A1397" t="s">
        <v>2464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</row>
    <row r="1398" spans="1:9">
      <c r="A1398" t="s">
        <v>47</v>
      </c>
      <c r="B1398" t="str">
        <f t="shared" ref="B1398:I1401" si="213">"Off"</f>
        <v>Off</v>
      </c>
      <c r="C1398" t="str">
        <f t="shared" si="213"/>
        <v>Off</v>
      </c>
      <c r="D1398" t="str">
        <f t="shared" si="213"/>
        <v>Off</v>
      </c>
      <c r="E1398" t="str">
        <f t="shared" si="213"/>
        <v>Off</v>
      </c>
      <c r="F1398" t="str">
        <f t="shared" si="213"/>
        <v>Off</v>
      </c>
      <c r="G1398" t="str">
        <f t="shared" si="213"/>
        <v>Off</v>
      </c>
      <c r="H1398" t="str">
        <f t="shared" si="213"/>
        <v>Off</v>
      </c>
      <c r="I1398" t="str">
        <f t="shared" si="213"/>
        <v>Off</v>
      </c>
    </row>
    <row r="1399" spans="1:9">
      <c r="A1399" t="s">
        <v>113</v>
      </c>
      <c r="B1399" t="str">
        <f t="shared" si="213"/>
        <v>Off</v>
      </c>
      <c r="C1399" t="str">
        <f t="shared" si="213"/>
        <v>Off</v>
      </c>
      <c r="D1399" t="str">
        <f t="shared" si="213"/>
        <v>Off</v>
      </c>
      <c r="E1399" t="str">
        <f t="shared" si="213"/>
        <v>Off</v>
      </c>
      <c r="F1399" t="str">
        <f t="shared" si="213"/>
        <v>Off</v>
      </c>
      <c r="G1399" t="str">
        <f t="shared" si="213"/>
        <v>Off</v>
      </c>
      <c r="H1399" t="str">
        <f t="shared" si="213"/>
        <v>Off</v>
      </c>
      <c r="I1399" t="str">
        <f t="shared" si="213"/>
        <v>Off</v>
      </c>
    </row>
    <row r="1400" spans="1:9">
      <c r="A1400" t="s">
        <v>2465</v>
      </c>
      <c r="B1400" t="str">
        <f t="shared" si="213"/>
        <v>Off</v>
      </c>
      <c r="C1400" t="str">
        <f t="shared" si="213"/>
        <v>Off</v>
      </c>
      <c r="D1400" t="str">
        <f t="shared" si="213"/>
        <v>Off</v>
      </c>
      <c r="E1400" t="str">
        <f t="shared" si="213"/>
        <v>Off</v>
      </c>
      <c r="F1400" t="str">
        <f t="shared" si="213"/>
        <v>Off</v>
      </c>
      <c r="G1400" t="str">
        <f t="shared" si="213"/>
        <v>Off</v>
      </c>
      <c r="H1400" t="str">
        <f t="shared" si="213"/>
        <v>Off</v>
      </c>
      <c r="I1400" t="str">
        <f t="shared" si="213"/>
        <v>Off</v>
      </c>
    </row>
    <row r="1401" spans="1:9">
      <c r="A1401" t="s">
        <v>39</v>
      </c>
      <c r="B1401" t="str">
        <f t="shared" si="213"/>
        <v>Off</v>
      </c>
      <c r="C1401" t="str">
        <f t="shared" si="213"/>
        <v>Off</v>
      </c>
      <c r="D1401" t="str">
        <f t="shared" si="213"/>
        <v>Off</v>
      </c>
      <c r="E1401" t="str">
        <f t="shared" si="213"/>
        <v>Off</v>
      </c>
      <c r="F1401" t="str">
        <f t="shared" si="213"/>
        <v>Off</v>
      </c>
      <c r="G1401" t="str">
        <f t="shared" si="213"/>
        <v>Off</v>
      </c>
      <c r="H1401" t="str">
        <f t="shared" si="213"/>
        <v>Off</v>
      </c>
      <c r="I1401" t="str">
        <f t="shared" si="213"/>
        <v>Off</v>
      </c>
    </row>
    <row r="1402" spans="1:9">
      <c r="A1402" t="s">
        <v>150</v>
      </c>
      <c r="B1402" t="str">
        <f t="shared" ref="B1402:I1402" si="214">"OFF"</f>
        <v>OFF</v>
      </c>
      <c r="C1402" t="str">
        <f t="shared" si="214"/>
        <v>OFF</v>
      </c>
      <c r="D1402" t="str">
        <f t="shared" si="214"/>
        <v>OFF</v>
      </c>
      <c r="E1402" t="str">
        <f t="shared" si="214"/>
        <v>OFF</v>
      </c>
      <c r="F1402" t="str">
        <f t="shared" si="214"/>
        <v>OFF</v>
      </c>
      <c r="G1402" t="str">
        <f t="shared" si="214"/>
        <v>OFF</v>
      </c>
      <c r="H1402" t="str">
        <f t="shared" si="214"/>
        <v>OFF</v>
      </c>
      <c r="I1402" t="str">
        <f t="shared" si="214"/>
        <v>OFF</v>
      </c>
    </row>
    <row r="1403" spans="1:9">
      <c r="A1403" t="s">
        <v>2466</v>
      </c>
      <c r="B1403" t="str">
        <f t="shared" ref="B1403:I1409" si="215">"Off"</f>
        <v>Off</v>
      </c>
      <c r="C1403" t="str">
        <f t="shared" si="215"/>
        <v>Off</v>
      </c>
      <c r="D1403" t="str">
        <f t="shared" si="215"/>
        <v>Off</v>
      </c>
      <c r="E1403" t="str">
        <f t="shared" si="215"/>
        <v>Off</v>
      </c>
      <c r="F1403" t="str">
        <f t="shared" si="215"/>
        <v>Off</v>
      </c>
      <c r="G1403" t="str">
        <f t="shared" si="215"/>
        <v>Off</v>
      </c>
      <c r="H1403" t="str">
        <f t="shared" si="215"/>
        <v>Off</v>
      </c>
      <c r="I1403" t="str">
        <f t="shared" si="215"/>
        <v>Off</v>
      </c>
    </row>
    <row r="1404" spans="1:9">
      <c r="A1404" t="s">
        <v>125</v>
      </c>
      <c r="B1404" t="str">
        <f t="shared" si="215"/>
        <v>Off</v>
      </c>
      <c r="C1404" t="str">
        <f t="shared" si="215"/>
        <v>Off</v>
      </c>
      <c r="D1404" t="str">
        <f t="shared" si="215"/>
        <v>Off</v>
      </c>
      <c r="E1404" t="str">
        <f t="shared" si="215"/>
        <v>Off</v>
      </c>
      <c r="F1404" t="str">
        <f t="shared" si="215"/>
        <v>Off</v>
      </c>
      <c r="G1404" t="str">
        <f t="shared" si="215"/>
        <v>Off</v>
      </c>
      <c r="H1404" t="str">
        <f t="shared" si="215"/>
        <v>Off</v>
      </c>
      <c r="I1404" t="str">
        <f t="shared" si="215"/>
        <v>Off</v>
      </c>
    </row>
    <row r="1405" spans="1:9">
      <c r="A1405" t="s">
        <v>126</v>
      </c>
      <c r="B1405" t="str">
        <f t="shared" si="215"/>
        <v>Off</v>
      </c>
      <c r="C1405" t="str">
        <f t="shared" si="215"/>
        <v>Off</v>
      </c>
      <c r="D1405" t="str">
        <f t="shared" si="215"/>
        <v>Off</v>
      </c>
      <c r="E1405" t="str">
        <f t="shared" si="215"/>
        <v>Off</v>
      </c>
      <c r="F1405" t="str">
        <f t="shared" si="215"/>
        <v>Off</v>
      </c>
      <c r="G1405" t="str">
        <f t="shared" si="215"/>
        <v>Off</v>
      </c>
      <c r="H1405" t="str">
        <f t="shared" si="215"/>
        <v>Off</v>
      </c>
      <c r="I1405" t="str">
        <f t="shared" si="215"/>
        <v>Off</v>
      </c>
    </row>
    <row r="1406" spans="1:9">
      <c r="A1406" t="s">
        <v>48</v>
      </c>
      <c r="B1406" t="str">
        <f t="shared" si="215"/>
        <v>Off</v>
      </c>
      <c r="C1406" t="str">
        <f t="shared" si="215"/>
        <v>Off</v>
      </c>
      <c r="D1406" t="str">
        <f t="shared" si="215"/>
        <v>Off</v>
      </c>
      <c r="E1406" t="str">
        <f t="shared" si="215"/>
        <v>Off</v>
      </c>
      <c r="F1406" t="str">
        <f t="shared" si="215"/>
        <v>Off</v>
      </c>
      <c r="G1406" t="str">
        <f t="shared" si="215"/>
        <v>Off</v>
      </c>
      <c r="H1406" t="str">
        <f t="shared" si="215"/>
        <v>Off</v>
      </c>
      <c r="I1406" t="str">
        <f t="shared" si="215"/>
        <v>Off</v>
      </c>
    </row>
    <row r="1407" spans="1:9">
      <c r="A1407" t="s">
        <v>121</v>
      </c>
      <c r="B1407" t="str">
        <f t="shared" si="215"/>
        <v>Off</v>
      </c>
      <c r="C1407" t="str">
        <f t="shared" si="215"/>
        <v>Off</v>
      </c>
      <c r="D1407" t="str">
        <f t="shared" si="215"/>
        <v>Off</v>
      </c>
      <c r="E1407" t="str">
        <f t="shared" si="215"/>
        <v>Off</v>
      </c>
      <c r="F1407" t="str">
        <f t="shared" si="215"/>
        <v>Off</v>
      </c>
      <c r="G1407" t="str">
        <f t="shared" si="215"/>
        <v>Off</v>
      </c>
      <c r="H1407" t="str">
        <f t="shared" si="215"/>
        <v>Off</v>
      </c>
      <c r="I1407" t="str">
        <f t="shared" si="215"/>
        <v>Off</v>
      </c>
    </row>
    <row r="1408" spans="1:9">
      <c r="A1408" t="s">
        <v>2467</v>
      </c>
      <c r="B1408" t="str">
        <f t="shared" si="215"/>
        <v>Off</v>
      </c>
      <c r="C1408" t="str">
        <f t="shared" si="215"/>
        <v>Off</v>
      </c>
      <c r="D1408" t="str">
        <f t="shared" si="215"/>
        <v>Off</v>
      </c>
      <c r="E1408" t="str">
        <f t="shared" si="215"/>
        <v>Off</v>
      </c>
      <c r="F1408" t="str">
        <f t="shared" si="215"/>
        <v>Off</v>
      </c>
      <c r="G1408" t="str">
        <f t="shared" si="215"/>
        <v>Off</v>
      </c>
      <c r="H1408" t="str">
        <f t="shared" si="215"/>
        <v>Off</v>
      </c>
      <c r="I1408" t="str">
        <f t="shared" si="215"/>
        <v>Off</v>
      </c>
    </row>
    <row r="1409" spans="1:9">
      <c r="A1409" t="s">
        <v>123</v>
      </c>
      <c r="B1409" t="str">
        <f t="shared" si="215"/>
        <v>Off</v>
      </c>
      <c r="C1409" t="str">
        <f t="shared" si="215"/>
        <v>Off</v>
      </c>
      <c r="D1409" t="str">
        <f t="shared" si="215"/>
        <v>Off</v>
      </c>
      <c r="E1409" t="str">
        <f t="shared" si="215"/>
        <v>Off</v>
      </c>
      <c r="F1409" t="str">
        <f t="shared" si="215"/>
        <v>Off</v>
      </c>
      <c r="G1409" t="str">
        <f t="shared" si="215"/>
        <v>Off</v>
      </c>
      <c r="H1409" t="str">
        <f t="shared" si="215"/>
        <v>Off</v>
      </c>
      <c r="I1409" t="str">
        <f t="shared" si="215"/>
        <v>Off</v>
      </c>
    </row>
    <row r="1411" spans="1:9">
      <c r="B1411" t="s">
        <v>2471</v>
      </c>
      <c r="C1411">
        <v>16</v>
      </c>
      <c r="D1411">
        <v>8</v>
      </c>
      <c r="E1411">
        <v>1</v>
      </c>
    </row>
    <row r="1412" spans="1:9">
      <c r="B1412" t="s">
        <v>1511</v>
      </c>
      <c r="C1412" t="s">
        <v>1512</v>
      </c>
      <c r="D1412" t="s">
        <v>1513</v>
      </c>
      <c r="E1412" t="s">
        <v>1514</v>
      </c>
      <c r="F1412" t="s">
        <v>1515</v>
      </c>
      <c r="G1412" t="s">
        <v>1516</v>
      </c>
      <c r="H1412" t="s">
        <v>1517</v>
      </c>
      <c r="I1412" t="s">
        <v>1518</v>
      </c>
    </row>
    <row r="1413" spans="1:9">
      <c r="A1413" t="s">
        <v>2462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</row>
    <row r="1414" spans="1:9">
      <c r="A1414" t="s">
        <v>111</v>
      </c>
      <c r="B1414" t="str">
        <f t="shared" ref="B1414:I1414" si="216">"Off"</f>
        <v>Off</v>
      </c>
      <c r="C1414" t="str">
        <f t="shared" si="216"/>
        <v>Off</v>
      </c>
      <c r="D1414" t="str">
        <f t="shared" si="216"/>
        <v>Off</v>
      </c>
      <c r="E1414" t="str">
        <f t="shared" si="216"/>
        <v>Off</v>
      </c>
      <c r="F1414" t="str">
        <f t="shared" si="216"/>
        <v>Off</v>
      </c>
      <c r="G1414" t="str">
        <f t="shared" si="216"/>
        <v>Off</v>
      </c>
      <c r="H1414" t="str">
        <f t="shared" si="216"/>
        <v>Off</v>
      </c>
      <c r="I1414" t="str">
        <f t="shared" si="216"/>
        <v>Off</v>
      </c>
    </row>
    <row r="1415" spans="1:9">
      <c r="A1415" t="s">
        <v>2463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</row>
    <row r="1416" spans="1:9">
      <c r="A1416" t="s">
        <v>2464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</row>
    <row r="1417" spans="1:9">
      <c r="A1417" t="s">
        <v>47</v>
      </c>
      <c r="B1417" t="str">
        <f t="shared" ref="B1417:I1420" si="217">"Off"</f>
        <v>Off</v>
      </c>
      <c r="C1417" t="str">
        <f t="shared" si="217"/>
        <v>Off</v>
      </c>
      <c r="D1417" t="str">
        <f t="shared" si="217"/>
        <v>Off</v>
      </c>
      <c r="E1417" t="str">
        <f t="shared" si="217"/>
        <v>Off</v>
      </c>
      <c r="F1417" t="str">
        <f t="shared" si="217"/>
        <v>Off</v>
      </c>
      <c r="G1417" t="str">
        <f t="shared" si="217"/>
        <v>Off</v>
      </c>
      <c r="H1417" t="str">
        <f t="shared" si="217"/>
        <v>Off</v>
      </c>
      <c r="I1417" t="str">
        <f t="shared" si="217"/>
        <v>Off</v>
      </c>
    </row>
    <row r="1418" spans="1:9">
      <c r="A1418" t="s">
        <v>113</v>
      </c>
      <c r="B1418" t="str">
        <f t="shared" si="217"/>
        <v>Off</v>
      </c>
      <c r="C1418" t="str">
        <f t="shared" si="217"/>
        <v>Off</v>
      </c>
      <c r="D1418" t="str">
        <f t="shared" si="217"/>
        <v>Off</v>
      </c>
      <c r="E1418" t="str">
        <f t="shared" si="217"/>
        <v>Off</v>
      </c>
      <c r="F1418" t="str">
        <f t="shared" si="217"/>
        <v>Off</v>
      </c>
      <c r="G1418" t="str">
        <f t="shared" si="217"/>
        <v>Off</v>
      </c>
      <c r="H1418" t="str">
        <f t="shared" si="217"/>
        <v>Off</v>
      </c>
      <c r="I1418" t="str">
        <f t="shared" si="217"/>
        <v>Off</v>
      </c>
    </row>
    <row r="1419" spans="1:9">
      <c r="A1419" t="s">
        <v>2465</v>
      </c>
      <c r="B1419" t="str">
        <f t="shared" si="217"/>
        <v>Off</v>
      </c>
      <c r="C1419" t="str">
        <f t="shared" si="217"/>
        <v>Off</v>
      </c>
      <c r="D1419" t="str">
        <f t="shared" si="217"/>
        <v>Off</v>
      </c>
      <c r="E1419" t="str">
        <f t="shared" si="217"/>
        <v>Off</v>
      </c>
      <c r="F1419" t="str">
        <f t="shared" si="217"/>
        <v>Off</v>
      </c>
      <c r="G1419" t="str">
        <f t="shared" si="217"/>
        <v>Off</v>
      </c>
      <c r="H1419" t="str">
        <f t="shared" si="217"/>
        <v>Off</v>
      </c>
      <c r="I1419" t="str">
        <f t="shared" si="217"/>
        <v>Off</v>
      </c>
    </row>
    <row r="1420" spans="1:9">
      <c r="A1420" t="s">
        <v>39</v>
      </c>
      <c r="B1420" t="str">
        <f t="shared" si="217"/>
        <v>Off</v>
      </c>
      <c r="C1420" t="str">
        <f t="shared" si="217"/>
        <v>Off</v>
      </c>
      <c r="D1420" t="str">
        <f t="shared" si="217"/>
        <v>Off</v>
      </c>
      <c r="E1420" t="str">
        <f t="shared" si="217"/>
        <v>Off</v>
      </c>
      <c r="F1420" t="str">
        <f t="shared" si="217"/>
        <v>Off</v>
      </c>
      <c r="G1420" t="str">
        <f t="shared" si="217"/>
        <v>Off</v>
      </c>
      <c r="H1420" t="str">
        <f t="shared" si="217"/>
        <v>Off</v>
      </c>
      <c r="I1420" t="str">
        <f t="shared" si="217"/>
        <v>Off</v>
      </c>
    </row>
    <row r="1421" spans="1:9">
      <c r="A1421" t="s">
        <v>150</v>
      </c>
      <c r="B1421" t="str">
        <f t="shared" ref="B1421:I1421" si="218">"OFF"</f>
        <v>OFF</v>
      </c>
      <c r="C1421" t="str">
        <f t="shared" si="218"/>
        <v>OFF</v>
      </c>
      <c r="D1421" t="str">
        <f t="shared" si="218"/>
        <v>OFF</v>
      </c>
      <c r="E1421" t="str">
        <f t="shared" si="218"/>
        <v>OFF</v>
      </c>
      <c r="F1421" t="str">
        <f t="shared" si="218"/>
        <v>OFF</v>
      </c>
      <c r="G1421" t="str">
        <f t="shared" si="218"/>
        <v>OFF</v>
      </c>
      <c r="H1421" t="str">
        <f t="shared" si="218"/>
        <v>OFF</v>
      </c>
      <c r="I1421" t="str">
        <f t="shared" si="218"/>
        <v>OFF</v>
      </c>
    </row>
    <row r="1422" spans="1:9">
      <c r="A1422" t="s">
        <v>2466</v>
      </c>
      <c r="B1422" t="str">
        <f t="shared" ref="B1422:I1428" si="219">"Off"</f>
        <v>Off</v>
      </c>
      <c r="C1422" t="str">
        <f t="shared" si="219"/>
        <v>Off</v>
      </c>
      <c r="D1422" t="str">
        <f t="shared" si="219"/>
        <v>Off</v>
      </c>
      <c r="E1422" t="str">
        <f t="shared" si="219"/>
        <v>Off</v>
      </c>
      <c r="F1422" t="str">
        <f t="shared" si="219"/>
        <v>Off</v>
      </c>
      <c r="G1422" t="str">
        <f t="shared" si="219"/>
        <v>Off</v>
      </c>
      <c r="H1422" t="str">
        <f t="shared" si="219"/>
        <v>Off</v>
      </c>
      <c r="I1422" t="str">
        <f t="shared" si="219"/>
        <v>Off</v>
      </c>
    </row>
    <row r="1423" spans="1:9">
      <c r="A1423" t="s">
        <v>125</v>
      </c>
      <c r="B1423" t="str">
        <f t="shared" si="219"/>
        <v>Off</v>
      </c>
      <c r="C1423" t="str">
        <f t="shared" si="219"/>
        <v>Off</v>
      </c>
      <c r="D1423" t="str">
        <f t="shared" si="219"/>
        <v>Off</v>
      </c>
      <c r="E1423" t="str">
        <f t="shared" si="219"/>
        <v>Off</v>
      </c>
      <c r="F1423" t="str">
        <f t="shared" si="219"/>
        <v>Off</v>
      </c>
      <c r="G1423" t="str">
        <f t="shared" si="219"/>
        <v>Off</v>
      </c>
      <c r="H1423" t="str">
        <f t="shared" si="219"/>
        <v>Off</v>
      </c>
      <c r="I1423" t="str">
        <f t="shared" si="219"/>
        <v>Off</v>
      </c>
    </row>
    <row r="1424" spans="1:9">
      <c r="A1424" t="s">
        <v>126</v>
      </c>
      <c r="B1424" t="str">
        <f t="shared" si="219"/>
        <v>Off</v>
      </c>
      <c r="C1424" t="str">
        <f t="shared" si="219"/>
        <v>Off</v>
      </c>
      <c r="D1424" t="str">
        <f t="shared" si="219"/>
        <v>Off</v>
      </c>
      <c r="E1424" t="str">
        <f t="shared" si="219"/>
        <v>Off</v>
      </c>
      <c r="F1424" t="str">
        <f t="shared" si="219"/>
        <v>Off</v>
      </c>
      <c r="G1424" t="str">
        <f t="shared" si="219"/>
        <v>Off</v>
      </c>
      <c r="H1424" t="str">
        <f t="shared" si="219"/>
        <v>Off</v>
      </c>
      <c r="I1424" t="str">
        <f t="shared" si="219"/>
        <v>Off</v>
      </c>
    </row>
    <row r="1425" spans="1:9">
      <c r="A1425" t="s">
        <v>48</v>
      </c>
      <c r="B1425" t="str">
        <f t="shared" si="219"/>
        <v>Off</v>
      </c>
      <c r="C1425" t="str">
        <f t="shared" si="219"/>
        <v>Off</v>
      </c>
      <c r="D1425" t="str">
        <f t="shared" si="219"/>
        <v>Off</v>
      </c>
      <c r="E1425" t="str">
        <f t="shared" si="219"/>
        <v>Off</v>
      </c>
      <c r="F1425" t="str">
        <f t="shared" si="219"/>
        <v>Off</v>
      </c>
      <c r="G1425" t="str">
        <f t="shared" si="219"/>
        <v>Off</v>
      </c>
      <c r="H1425" t="str">
        <f t="shared" si="219"/>
        <v>Off</v>
      </c>
      <c r="I1425" t="str">
        <f t="shared" si="219"/>
        <v>Off</v>
      </c>
    </row>
    <row r="1426" spans="1:9">
      <c r="A1426" t="s">
        <v>121</v>
      </c>
      <c r="B1426" t="str">
        <f t="shared" si="219"/>
        <v>Off</v>
      </c>
      <c r="C1426" t="str">
        <f t="shared" si="219"/>
        <v>Off</v>
      </c>
      <c r="D1426" t="str">
        <f t="shared" si="219"/>
        <v>Off</v>
      </c>
      <c r="E1426" t="str">
        <f t="shared" si="219"/>
        <v>Off</v>
      </c>
      <c r="F1426" t="str">
        <f t="shared" si="219"/>
        <v>Off</v>
      </c>
      <c r="G1426" t="str">
        <f t="shared" si="219"/>
        <v>Off</v>
      </c>
      <c r="H1426" t="str">
        <f t="shared" si="219"/>
        <v>Off</v>
      </c>
      <c r="I1426" t="str">
        <f t="shared" si="219"/>
        <v>Off</v>
      </c>
    </row>
    <row r="1427" spans="1:9">
      <c r="A1427" t="s">
        <v>2467</v>
      </c>
      <c r="B1427" t="str">
        <f t="shared" si="219"/>
        <v>Off</v>
      </c>
      <c r="C1427" t="str">
        <f t="shared" si="219"/>
        <v>Off</v>
      </c>
      <c r="D1427" t="str">
        <f t="shared" si="219"/>
        <v>Off</v>
      </c>
      <c r="E1427" t="str">
        <f t="shared" si="219"/>
        <v>Off</v>
      </c>
      <c r="F1427" t="str">
        <f t="shared" si="219"/>
        <v>Off</v>
      </c>
      <c r="G1427" t="str">
        <f t="shared" si="219"/>
        <v>Off</v>
      </c>
      <c r="H1427" t="str">
        <f t="shared" si="219"/>
        <v>Off</v>
      </c>
      <c r="I1427" t="str">
        <f t="shared" si="219"/>
        <v>Off</v>
      </c>
    </row>
    <row r="1428" spans="1:9">
      <c r="A1428" t="s">
        <v>123</v>
      </c>
      <c r="B1428" t="str">
        <f t="shared" si="219"/>
        <v>Off</v>
      </c>
      <c r="C1428" t="str">
        <f t="shared" si="219"/>
        <v>Off</v>
      </c>
      <c r="D1428" t="str">
        <f t="shared" si="219"/>
        <v>Off</v>
      </c>
      <c r="E1428" t="str">
        <f t="shared" si="219"/>
        <v>Off</v>
      </c>
      <c r="F1428" t="str">
        <f t="shared" si="219"/>
        <v>Off</v>
      </c>
      <c r="G1428" t="str">
        <f t="shared" si="219"/>
        <v>Off</v>
      </c>
      <c r="H1428" t="str">
        <f t="shared" si="219"/>
        <v>Off</v>
      </c>
      <c r="I1428" t="str">
        <f t="shared" si="219"/>
        <v>Off</v>
      </c>
    </row>
    <row r="1430" spans="1:9">
      <c r="B1430" t="s">
        <v>2472</v>
      </c>
      <c r="C1430">
        <v>16</v>
      </c>
      <c r="D1430">
        <v>8</v>
      </c>
      <c r="E1430">
        <v>1</v>
      </c>
    </row>
    <row r="1431" spans="1:9">
      <c r="B1431" t="s">
        <v>1511</v>
      </c>
      <c r="C1431" t="s">
        <v>1512</v>
      </c>
      <c r="D1431" t="s">
        <v>1513</v>
      </c>
      <c r="E1431" t="s">
        <v>1514</v>
      </c>
      <c r="F1431" t="s">
        <v>1515</v>
      </c>
      <c r="G1431" t="s">
        <v>1516</v>
      </c>
      <c r="H1431" t="s">
        <v>1517</v>
      </c>
      <c r="I1431" t="s">
        <v>1518</v>
      </c>
    </row>
    <row r="1432" spans="1:9">
      <c r="A1432" t="s">
        <v>2462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</row>
    <row r="1433" spans="1:9">
      <c r="A1433" t="s">
        <v>111</v>
      </c>
      <c r="B1433" t="str">
        <f t="shared" ref="B1433:I1433" si="220">"Off"</f>
        <v>Off</v>
      </c>
      <c r="C1433" t="str">
        <f t="shared" si="220"/>
        <v>Off</v>
      </c>
      <c r="D1433" t="str">
        <f t="shared" si="220"/>
        <v>Off</v>
      </c>
      <c r="E1433" t="str">
        <f t="shared" si="220"/>
        <v>Off</v>
      </c>
      <c r="F1433" t="str">
        <f t="shared" si="220"/>
        <v>Off</v>
      </c>
      <c r="G1433" t="str">
        <f t="shared" si="220"/>
        <v>Off</v>
      </c>
      <c r="H1433" t="str">
        <f t="shared" si="220"/>
        <v>Off</v>
      </c>
      <c r="I1433" t="str">
        <f t="shared" si="220"/>
        <v>Off</v>
      </c>
    </row>
    <row r="1434" spans="1:9">
      <c r="A1434" t="s">
        <v>2463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</row>
    <row r="1435" spans="1:9">
      <c r="A1435" t="s">
        <v>2464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>
      <c r="A1436" t="s">
        <v>47</v>
      </c>
      <c r="B1436" t="str">
        <f t="shared" ref="B1436:I1439" si="221">"Off"</f>
        <v>Off</v>
      </c>
      <c r="C1436" t="str">
        <f t="shared" si="221"/>
        <v>Off</v>
      </c>
      <c r="D1436" t="str">
        <f t="shared" si="221"/>
        <v>Off</v>
      </c>
      <c r="E1436" t="str">
        <f t="shared" si="221"/>
        <v>Off</v>
      </c>
      <c r="F1436" t="str">
        <f t="shared" si="221"/>
        <v>Off</v>
      </c>
      <c r="G1436" t="str">
        <f t="shared" si="221"/>
        <v>Off</v>
      </c>
      <c r="H1436" t="str">
        <f t="shared" si="221"/>
        <v>Off</v>
      </c>
      <c r="I1436" t="str">
        <f t="shared" si="221"/>
        <v>Off</v>
      </c>
    </row>
    <row r="1437" spans="1:9">
      <c r="A1437" t="s">
        <v>113</v>
      </c>
      <c r="B1437" t="str">
        <f t="shared" si="221"/>
        <v>Off</v>
      </c>
      <c r="C1437" t="str">
        <f t="shared" si="221"/>
        <v>Off</v>
      </c>
      <c r="D1437" t="str">
        <f t="shared" si="221"/>
        <v>Off</v>
      </c>
      <c r="E1437" t="str">
        <f t="shared" si="221"/>
        <v>Off</v>
      </c>
      <c r="F1437" t="str">
        <f t="shared" si="221"/>
        <v>Off</v>
      </c>
      <c r="G1437" t="str">
        <f t="shared" si="221"/>
        <v>Off</v>
      </c>
      <c r="H1437" t="str">
        <f t="shared" si="221"/>
        <v>Off</v>
      </c>
      <c r="I1437" t="str">
        <f t="shared" si="221"/>
        <v>Off</v>
      </c>
    </row>
    <row r="1438" spans="1:9">
      <c r="A1438" t="s">
        <v>2465</v>
      </c>
      <c r="B1438" t="str">
        <f t="shared" si="221"/>
        <v>Off</v>
      </c>
      <c r="C1438" t="str">
        <f t="shared" si="221"/>
        <v>Off</v>
      </c>
      <c r="D1438" t="str">
        <f t="shared" si="221"/>
        <v>Off</v>
      </c>
      <c r="E1438" t="str">
        <f t="shared" si="221"/>
        <v>Off</v>
      </c>
      <c r="F1438" t="str">
        <f t="shared" si="221"/>
        <v>Off</v>
      </c>
      <c r="G1438" t="str">
        <f t="shared" si="221"/>
        <v>Off</v>
      </c>
      <c r="H1438" t="str">
        <f t="shared" si="221"/>
        <v>Off</v>
      </c>
      <c r="I1438" t="str">
        <f t="shared" si="221"/>
        <v>Off</v>
      </c>
    </row>
    <row r="1439" spans="1:9">
      <c r="A1439" t="s">
        <v>39</v>
      </c>
      <c r="B1439" t="str">
        <f t="shared" si="221"/>
        <v>Off</v>
      </c>
      <c r="C1439" t="str">
        <f t="shared" si="221"/>
        <v>Off</v>
      </c>
      <c r="D1439" t="str">
        <f t="shared" si="221"/>
        <v>Off</v>
      </c>
      <c r="E1439" t="str">
        <f t="shared" si="221"/>
        <v>Off</v>
      </c>
      <c r="F1439" t="str">
        <f t="shared" si="221"/>
        <v>Off</v>
      </c>
      <c r="G1439" t="str">
        <f t="shared" si="221"/>
        <v>Off</v>
      </c>
      <c r="H1439" t="str">
        <f t="shared" si="221"/>
        <v>Off</v>
      </c>
      <c r="I1439" t="str">
        <f t="shared" si="221"/>
        <v>Off</v>
      </c>
    </row>
    <row r="1440" spans="1:9">
      <c r="A1440" t="s">
        <v>150</v>
      </c>
      <c r="B1440" t="str">
        <f t="shared" ref="B1440:I1440" si="222">"OFF"</f>
        <v>OFF</v>
      </c>
      <c r="C1440" t="str">
        <f t="shared" si="222"/>
        <v>OFF</v>
      </c>
      <c r="D1440" t="str">
        <f t="shared" si="222"/>
        <v>OFF</v>
      </c>
      <c r="E1440" t="str">
        <f t="shared" si="222"/>
        <v>OFF</v>
      </c>
      <c r="F1440" t="str">
        <f t="shared" si="222"/>
        <v>OFF</v>
      </c>
      <c r="G1440" t="str">
        <f t="shared" si="222"/>
        <v>OFF</v>
      </c>
      <c r="H1440" t="str">
        <f t="shared" si="222"/>
        <v>OFF</v>
      </c>
      <c r="I1440" t="str">
        <f t="shared" si="222"/>
        <v>OFF</v>
      </c>
    </row>
    <row r="1441" spans="1:9">
      <c r="A1441" t="s">
        <v>2466</v>
      </c>
      <c r="B1441" t="str">
        <f t="shared" ref="B1441:I1447" si="223">"Off"</f>
        <v>Off</v>
      </c>
      <c r="C1441" t="str">
        <f t="shared" si="223"/>
        <v>Off</v>
      </c>
      <c r="D1441" t="str">
        <f t="shared" si="223"/>
        <v>Off</v>
      </c>
      <c r="E1441" t="str">
        <f t="shared" si="223"/>
        <v>Off</v>
      </c>
      <c r="F1441" t="str">
        <f t="shared" si="223"/>
        <v>Off</v>
      </c>
      <c r="G1441" t="str">
        <f t="shared" si="223"/>
        <v>Off</v>
      </c>
      <c r="H1441" t="str">
        <f t="shared" si="223"/>
        <v>Off</v>
      </c>
      <c r="I1441" t="str">
        <f t="shared" si="223"/>
        <v>Off</v>
      </c>
    </row>
    <row r="1442" spans="1:9">
      <c r="A1442" t="s">
        <v>125</v>
      </c>
      <c r="B1442" t="str">
        <f t="shared" si="223"/>
        <v>Off</v>
      </c>
      <c r="C1442" t="str">
        <f t="shared" si="223"/>
        <v>Off</v>
      </c>
      <c r="D1442" t="str">
        <f t="shared" si="223"/>
        <v>Off</v>
      </c>
      <c r="E1442" t="str">
        <f t="shared" si="223"/>
        <v>Off</v>
      </c>
      <c r="F1442" t="str">
        <f t="shared" si="223"/>
        <v>Off</v>
      </c>
      <c r="G1442" t="str">
        <f t="shared" si="223"/>
        <v>Off</v>
      </c>
      <c r="H1442" t="str">
        <f t="shared" si="223"/>
        <v>Off</v>
      </c>
      <c r="I1442" t="str">
        <f t="shared" si="223"/>
        <v>Off</v>
      </c>
    </row>
    <row r="1443" spans="1:9">
      <c r="A1443" t="s">
        <v>126</v>
      </c>
      <c r="B1443" t="str">
        <f t="shared" si="223"/>
        <v>Off</v>
      </c>
      <c r="C1443" t="str">
        <f t="shared" si="223"/>
        <v>Off</v>
      </c>
      <c r="D1443" t="str">
        <f t="shared" si="223"/>
        <v>Off</v>
      </c>
      <c r="E1443" t="str">
        <f t="shared" si="223"/>
        <v>Off</v>
      </c>
      <c r="F1443" t="str">
        <f t="shared" si="223"/>
        <v>Off</v>
      </c>
      <c r="G1443" t="str">
        <f t="shared" si="223"/>
        <v>Off</v>
      </c>
      <c r="H1443" t="str">
        <f t="shared" si="223"/>
        <v>Off</v>
      </c>
      <c r="I1443" t="str">
        <f t="shared" si="223"/>
        <v>Off</v>
      </c>
    </row>
    <row r="1444" spans="1:9">
      <c r="A1444" t="s">
        <v>48</v>
      </c>
      <c r="B1444" t="str">
        <f t="shared" si="223"/>
        <v>Off</v>
      </c>
      <c r="C1444" t="str">
        <f t="shared" si="223"/>
        <v>Off</v>
      </c>
      <c r="D1444" t="str">
        <f t="shared" si="223"/>
        <v>Off</v>
      </c>
      <c r="E1444" t="str">
        <f t="shared" si="223"/>
        <v>Off</v>
      </c>
      <c r="F1444" t="str">
        <f t="shared" si="223"/>
        <v>Off</v>
      </c>
      <c r="G1444" t="str">
        <f t="shared" si="223"/>
        <v>Off</v>
      </c>
      <c r="H1444" t="str">
        <f t="shared" si="223"/>
        <v>Off</v>
      </c>
      <c r="I1444" t="str">
        <f t="shared" si="223"/>
        <v>Off</v>
      </c>
    </row>
    <row r="1445" spans="1:9">
      <c r="A1445" t="s">
        <v>121</v>
      </c>
      <c r="B1445" t="str">
        <f t="shared" si="223"/>
        <v>Off</v>
      </c>
      <c r="C1445" t="str">
        <f t="shared" si="223"/>
        <v>Off</v>
      </c>
      <c r="D1445" t="str">
        <f t="shared" si="223"/>
        <v>Off</v>
      </c>
      <c r="E1445" t="str">
        <f t="shared" si="223"/>
        <v>Off</v>
      </c>
      <c r="F1445" t="str">
        <f t="shared" si="223"/>
        <v>Off</v>
      </c>
      <c r="G1445" t="str">
        <f t="shared" si="223"/>
        <v>Off</v>
      </c>
      <c r="H1445" t="str">
        <f t="shared" si="223"/>
        <v>Off</v>
      </c>
      <c r="I1445" t="str">
        <f t="shared" si="223"/>
        <v>Off</v>
      </c>
    </row>
    <row r="1446" spans="1:9">
      <c r="A1446" t="s">
        <v>2467</v>
      </c>
      <c r="B1446" t="str">
        <f t="shared" si="223"/>
        <v>Off</v>
      </c>
      <c r="C1446" t="str">
        <f t="shared" si="223"/>
        <v>Off</v>
      </c>
      <c r="D1446" t="str">
        <f t="shared" si="223"/>
        <v>Off</v>
      </c>
      <c r="E1446" t="str">
        <f t="shared" si="223"/>
        <v>Off</v>
      </c>
      <c r="F1446" t="str">
        <f t="shared" si="223"/>
        <v>Off</v>
      </c>
      <c r="G1446" t="str">
        <f t="shared" si="223"/>
        <v>Off</v>
      </c>
      <c r="H1446" t="str">
        <f t="shared" si="223"/>
        <v>Off</v>
      </c>
      <c r="I1446" t="str">
        <f t="shared" si="223"/>
        <v>Off</v>
      </c>
    </row>
    <row r="1447" spans="1:9">
      <c r="A1447" t="s">
        <v>123</v>
      </c>
      <c r="B1447" t="str">
        <f t="shared" si="223"/>
        <v>Off</v>
      </c>
      <c r="C1447" t="str">
        <f t="shared" si="223"/>
        <v>Off</v>
      </c>
      <c r="D1447" t="str">
        <f t="shared" si="223"/>
        <v>Off</v>
      </c>
      <c r="E1447" t="str">
        <f t="shared" si="223"/>
        <v>Off</v>
      </c>
      <c r="F1447" t="str">
        <f t="shared" si="223"/>
        <v>Off</v>
      </c>
      <c r="G1447" t="str">
        <f t="shared" si="223"/>
        <v>Off</v>
      </c>
      <c r="H1447" t="str">
        <f t="shared" si="223"/>
        <v>Off</v>
      </c>
      <c r="I1447" t="str">
        <f t="shared" si="223"/>
        <v>Off</v>
      </c>
    </row>
    <row r="1449" spans="1:9">
      <c r="B1449" t="s">
        <v>2473</v>
      </c>
      <c r="C1449">
        <v>16</v>
      </c>
      <c r="D1449">
        <v>8</v>
      </c>
      <c r="E1449">
        <v>1</v>
      </c>
    </row>
    <row r="1450" spans="1:9">
      <c r="B1450" t="s">
        <v>1511</v>
      </c>
      <c r="C1450" t="s">
        <v>1512</v>
      </c>
      <c r="D1450" t="s">
        <v>1513</v>
      </c>
      <c r="E1450" t="s">
        <v>1514</v>
      </c>
      <c r="F1450" t="s">
        <v>1515</v>
      </c>
      <c r="G1450" t="s">
        <v>1516</v>
      </c>
      <c r="H1450" t="s">
        <v>1517</v>
      </c>
      <c r="I1450" t="s">
        <v>1518</v>
      </c>
    </row>
    <row r="1451" spans="1:9">
      <c r="A1451" t="s">
        <v>2462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</row>
    <row r="1452" spans="1:9">
      <c r="A1452" t="s">
        <v>111</v>
      </c>
      <c r="B1452" t="str">
        <f t="shared" ref="B1452:I1452" si="224">"Off"</f>
        <v>Off</v>
      </c>
      <c r="C1452" t="str">
        <f t="shared" si="224"/>
        <v>Off</v>
      </c>
      <c r="D1452" t="str">
        <f t="shared" si="224"/>
        <v>Off</v>
      </c>
      <c r="E1452" t="str">
        <f t="shared" si="224"/>
        <v>Off</v>
      </c>
      <c r="F1452" t="str">
        <f t="shared" si="224"/>
        <v>Off</v>
      </c>
      <c r="G1452" t="str">
        <f t="shared" si="224"/>
        <v>Off</v>
      </c>
      <c r="H1452" t="str">
        <f t="shared" si="224"/>
        <v>Off</v>
      </c>
      <c r="I1452" t="str">
        <f t="shared" si="224"/>
        <v>Off</v>
      </c>
    </row>
    <row r="1453" spans="1:9">
      <c r="A1453" t="s">
        <v>2463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</row>
    <row r="1454" spans="1:9">
      <c r="A1454" t="s">
        <v>2464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</row>
    <row r="1455" spans="1:9">
      <c r="A1455" t="s">
        <v>47</v>
      </c>
      <c r="B1455" t="str">
        <f t="shared" ref="B1455:I1458" si="225">"Off"</f>
        <v>Off</v>
      </c>
      <c r="C1455" t="str">
        <f t="shared" si="225"/>
        <v>Off</v>
      </c>
      <c r="D1455" t="str">
        <f t="shared" si="225"/>
        <v>Off</v>
      </c>
      <c r="E1455" t="str">
        <f t="shared" si="225"/>
        <v>Off</v>
      </c>
      <c r="F1455" t="str">
        <f t="shared" si="225"/>
        <v>Off</v>
      </c>
      <c r="G1455" t="str">
        <f t="shared" si="225"/>
        <v>Off</v>
      </c>
      <c r="H1455" t="str">
        <f t="shared" si="225"/>
        <v>Off</v>
      </c>
      <c r="I1455" t="str">
        <f t="shared" si="225"/>
        <v>Off</v>
      </c>
    </row>
    <row r="1456" spans="1:9">
      <c r="A1456" t="s">
        <v>113</v>
      </c>
      <c r="B1456" t="str">
        <f t="shared" si="225"/>
        <v>Off</v>
      </c>
      <c r="C1456" t="str">
        <f t="shared" si="225"/>
        <v>Off</v>
      </c>
      <c r="D1456" t="str">
        <f t="shared" si="225"/>
        <v>Off</v>
      </c>
      <c r="E1456" t="str">
        <f t="shared" si="225"/>
        <v>Off</v>
      </c>
      <c r="F1456" t="str">
        <f t="shared" si="225"/>
        <v>Off</v>
      </c>
      <c r="G1456" t="str">
        <f t="shared" si="225"/>
        <v>Off</v>
      </c>
      <c r="H1456" t="str">
        <f t="shared" si="225"/>
        <v>Off</v>
      </c>
      <c r="I1456" t="str">
        <f t="shared" si="225"/>
        <v>Off</v>
      </c>
    </row>
    <row r="1457" spans="1:9">
      <c r="A1457" t="s">
        <v>2465</v>
      </c>
      <c r="B1457" t="str">
        <f t="shared" si="225"/>
        <v>Off</v>
      </c>
      <c r="C1457" t="str">
        <f t="shared" si="225"/>
        <v>Off</v>
      </c>
      <c r="D1457" t="str">
        <f t="shared" si="225"/>
        <v>Off</v>
      </c>
      <c r="E1457" t="str">
        <f t="shared" si="225"/>
        <v>Off</v>
      </c>
      <c r="F1457" t="str">
        <f t="shared" si="225"/>
        <v>Off</v>
      </c>
      <c r="G1457" t="str">
        <f t="shared" si="225"/>
        <v>Off</v>
      </c>
      <c r="H1457" t="str">
        <f t="shared" si="225"/>
        <v>Off</v>
      </c>
      <c r="I1457" t="str">
        <f t="shared" si="225"/>
        <v>Off</v>
      </c>
    </row>
    <row r="1458" spans="1:9">
      <c r="A1458" t="s">
        <v>39</v>
      </c>
      <c r="B1458" t="str">
        <f t="shared" si="225"/>
        <v>Off</v>
      </c>
      <c r="C1458" t="str">
        <f t="shared" si="225"/>
        <v>Off</v>
      </c>
      <c r="D1458" t="str">
        <f t="shared" si="225"/>
        <v>Off</v>
      </c>
      <c r="E1458" t="str">
        <f t="shared" si="225"/>
        <v>Off</v>
      </c>
      <c r="F1458" t="str">
        <f t="shared" si="225"/>
        <v>Off</v>
      </c>
      <c r="G1458" t="str">
        <f t="shared" si="225"/>
        <v>Off</v>
      </c>
      <c r="H1458" t="str">
        <f t="shared" si="225"/>
        <v>Off</v>
      </c>
      <c r="I1458" t="str">
        <f t="shared" si="225"/>
        <v>Off</v>
      </c>
    </row>
    <row r="1459" spans="1:9">
      <c r="A1459" t="s">
        <v>150</v>
      </c>
      <c r="B1459" t="str">
        <f t="shared" ref="B1459:I1459" si="226">"OFF"</f>
        <v>OFF</v>
      </c>
      <c r="C1459" t="str">
        <f t="shared" si="226"/>
        <v>OFF</v>
      </c>
      <c r="D1459" t="str">
        <f t="shared" si="226"/>
        <v>OFF</v>
      </c>
      <c r="E1459" t="str">
        <f t="shared" si="226"/>
        <v>OFF</v>
      </c>
      <c r="F1459" t="str">
        <f t="shared" si="226"/>
        <v>OFF</v>
      </c>
      <c r="G1459" t="str">
        <f t="shared" si="226"/>
        <v>OFF</v>
      </c>
      <c r="H1459" t="str">
        <f t="shared" si="226"/>
        <v>OFF</v>
      </c>
      <c r="I1459" t="str">
        <f t="shared" si="226"/>
        <v>OFF</v>
      </c>
    </row>
    <row r="1460" spans="1:9">
      <c r="A1460" t="s">
        <v>2466</v>
      </c>
      <c r="B1460" t="str">
        <f t="shared" ref="B1460:I1466" si="227">"Off"</f>
        <v>Off</v>
      </c>
      <c r="C1460" t="str">
        <f t="shared" si="227"/>
        <v>Off</v>
      </c>
      <c r="D1460" t="str">
        <f t="shared" si="227"/>
        <v>Off</v>
      </c>
      <c r="E1460" t="str">
        <f t="shared" si="227"/>
        <v>Off</v>
      </c>
      <c r="F1460" t="str">
        <f t="shared" si="227"/>
        <v>Off</v>
      </c>
      <c r="G1460" t="str">
        <f t="shared" si="227"/>
        <v>Off</v>
      </c>
      <c r="H1460" t="str">
        <f t="shared" si="227"/>
        <v>Off</v>
      </c>
      <c r="I1460" t="str">
        <f t="shared" si="227"/>
        <v>Off</v>
      </c>
    </row>
    <row r="1461" spans="1:9">
      <c r="A1461" t="s">
        <v>125</v>
      </c>
      <c r="B1461" t="str">
        <f t="shared" si="227"/>
        <v>Off</v>
      </c>
      <c r="C1461" t="str">
        <f t="shared" si="227"/>
        <v>Off</v>
      </c>
      <c r="D1461" t="str">
        <f t="shared" si="227"/>
        <v>Off</v>
      </c>
      <c r="E1461" t="str">
        <f t="shared" si="227"/>
        <v>Off</v>
      </c>
      <c r="F1461" t="str">
        <f t="shared" si="227"/>
        <v>Off</v>
      </c>
      <c r="G1461" t="str">
        <f t="shared" si="227"/>
        <v>Off</v>
      </c>
      <c r="H1461" t="str">
        <f t="shared" si="227"/>
        <v>Off</v>
      </c>
      <c r="I1461" t="str">
        <f t="shared" si="227"/>
        <v>Off</v>
      </c>
    </row>
    <row r="1462" spans="1:9">
      <c r="A1462" t="s">
        <v>126</v>
      </c>
      <c r="B1462" t="str">
        <f t="shared" si="227"/>
        <v>Off</v>
      </c>
      <c r="C1462" t="str">
        <f t="shared" si="227"/>
        <v>Off</v>
      </c>
      <c r="D1462" t="str">
        <f t="shared" si="227"/>
        <v>Off</v>
      </c>
      <c r="E1462" t="str">
        <f t="shared" si="227"/>
        <v>Off</v>
      </c>
      <c r="F1462" t="str">
        <f t="shared" si="227"/>
        <v>Off</v>
      </c>
      <c r="G1462" t="str">
        <f t="shared" si="227"/>
        <v>Off</v>
      </c>
      <c r="H1462" t="str">
        <f t="shared" si="227"/>
        <v>Off</v>
      </c>
      <c r="I1462" t="str">
        <f t="shared" si="227"/>
        <v>Off</v>
      </c>
    </row>
    <row r="1463" spans="1:9">
      <c r="A1463" t="s">
        <v>48</v>
      </c>
      <c r="B1463" t="str">
        <f t="shared" si="227"/>
        <v>Off</v>
      </c>
      <c r="C1463" t="str">
        <f t="shared" si="227"/>
        <v>Off</v>
      </c>
      <c r="D1463" t="str">
        <f t="shared" si="227"/>
        <v>Off</v>
      </c>
      <c r="E1463" t="str">
        <f t="shared" si="227"/>
        <v>Off</v>
      </c>
      <c r="F1463" t="str">
        <f t="shared" si="227"/>
        <v>Off</v>
      </c>
      <c r="G1463" t="str">
        <f t="shared" si="227"/>
        <v>Off</v>
      </c>
      <c r="H1463" t="str">
        <f t="shared" si="227"/>
        <v>Off</v>
      </c>
      <c r="I1463" t="str">
        <f t="shared" si="227"/>
        <v>Off</v>
      </c>
    </row>
    <row r="1464" spans="1:9">
      <c r="A1464" t="s">
        <v>121</v>
      </c>
      <c r="B1464" t="str">
        <f t="shared" si="227"/>
        <v>Off</v>
      </c>
      <c r="C1464" t="str">
        <f t="shared" si="227"/>
        <v>Off</v>
      </c>
      <c r="D1464" t="str">
        <f t="shared" si="227"/>
        <v>Off</v>
      </c>
      <c r="E1464" t="str">
        <f t="shared" si="227"/>
        <v>Off</v>
      </c>
      <c r="F1464" t="str">
        <f t="shared" si="227"/>
        <v>Off</v>
      </c>
      <c r="G1464" t="str">
        <f t="shared" si="227"/>
        <v>Off</v>
      </c>
      <c r="H1464" t="str">
        <f t="shared" si="227"/>
        <v>Off</v>
      </c>
      <c r="I1464" t="str">
        <f t="shared" si="227"/>
        <v>Off</v>
      </c>
    </row>
    <row r="1465" spans="1:9">
      <c r="A1465" t="s">
        <v>2467</v>
      </c>
      <c r="B1465" t="str">
        <f t="shared" si="227"/>
        <v>Off</v>
      </c>
      <c r="C1465" t="str">
        <f t="shared" si="227"/>
        <v>Off</v>
      </c>
      <c r="D1465" t="str">
        <f t="shared" si="227"/>
        <v>Off</v>
      </c>
      <c r="E1465" t="str">
        <f t="shared" si="227"/>
        <v>Off</v>
      </c>
      <c r="F1465" t="str">
        <f t="shared" si="227"/>
        <v>Off</v>
      </c>
      <c r="G1465" t="str">
        <f t="shared" si="227"/>
        <v>Off</v>
      </c>
      <c r="H1465" t="str">
        <f t="shared" si="227"/>
        <v>Off</v>
      </c>
      <c r="I1465" t="str">
        <f t="shared" si="227"/>
        <v>Off</v>
      </c>
    </row>
    <row r="1466" spans="1:9">
      <c r="A1466" t="s">
        <v>123</v>
      </c>
      <c r="B1466" t="str">
        <f t="shared" si="227"/>
        <v>Off</v>
      </c>
      <c r="C1466" t="str">
        <f t="shared" si="227"/>
        <v>Off</v>
      </c>
      <c r="D1466" t="str">
        <f t="shared" si="227"/>
        <v>Off</v>
      </c>
      <c r="E1466" t="str">
        <f t="shared" si="227"/>
        <v>Off</v>
      </c>
      <c r="F1466" t="str">
        <f t="shared" si="227"/>
        <v>Off</v>
      </c>
      <c r="G1466" t="str">
        <f t="shared" si="227"/>
        <v>Off</v>
      </c>
      <c r="H1466" t="str">
        <f t="shared" si="227"/>
        <v>Off</v>
      </c>
      <c r="I1466" t="str">
        <f t="shared" si="227"/>
        <v>Off</v>
      </c>
    </row>
    <row r="1468" spans="1:9">
      <c r="B1468" t="s">
        <v>2474</v>
      </c>
      <c r="C1468">
        <v>16</v>
      </c>
      <c r="D1468">
        <v>8</v>
      </c>
      <c r="E1468">
        <v>1</v>
      </c>
    </row>
    <row r="1469" spans="1:9">
      <c r="B1469" t="s">
        <v>1511</v>
      </c>
      <c r="C1469" t="s">
        <v>1512</v>
      </c>
      <c r="D1469" t="s">
        <v>1513</v>
      </c>
      <c r="E1469" t="s">
        <v>1514</v>
      </c>
      <c r="F1469" t="s">
        <v>1515</v>
      </c>
      <c r="G1469" t="s">
        <v>1516</v>
      </c>
      <c r="H1469" t="s">
        <v>1517</v>
      </c>
      <c r="I1469" t="s">
        <v>1518</v>
      </c>
    </row>
    <row r="1470" spans="1:9">
      <c r="A1470" t="s">
        <v>2462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</row>
    <row r="1471" spans="1:9">
      <c r="A1471" t="s">
        <v>111</v>
      </c>
      <c r="B1471" t="str">
        <f t="shared" ref="B1471:I1471" si="228">"Off"</f>
        <v>Off</v>
      </c>
      <c r="C1471" t="str">
        <f t="shared" si="228"/>
        <v>Off</v>
      </c>
      <c r="D1471" t="str">
        <f t="shared" si="228"/>
        <v>Off</v>
      </c>
      <c r="E1471" t="str">
        <f t="shared" si="228"/>
        <v>Off</v>
      </c>
      <c r="F1471" t="str">
        <f t="shared" si="228"/>
        <v>Off</v>
      </c>
      <c r="G1471" t="str">
        <f t="shared" si="228"/>
        <v>Off</v>
      </c>
      <c r="H1471" t="str">
        <f t="shared" si="228"/>
        <v>Off</v>
      </c>
      <c r="I1471" t="str">
        <f t="shared" si="228"/>
        <v>Off</v>
      </c>
    </row>
    <row r="1472" spans="1:9">
      <c r="A1472" t="s">
        <v>2463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</row>
    <row r="1473" spans="1:9">
      <c r="A1473" t="s">
        <v>2464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</row>
    <row r="1474" spans="1:9">
      <c r="A1474" t="s">
        <v>47</v>
      </c>
      <c r="B1474" t="str">
        <f t="shared" ref="B1474:I1477" si="229">"Off"</f>
        <v>Off</v>
      </c>
      <c r="C1474" t="str">
        <f t="shared" si="229"/>
        <v>Off</v>
      </c>
      <c r="D1474" t="str">
        <f t="shared" si="229"/>
        <v>Off</v>
      </c>
      <c r="E1474" t="str">
        <f t="shared" si="229"/>
        <v>Off</v>
      </c>
      <c r="F1474" t="str">
        <f t="shared" si="229"/>
        <v>Off</v>
      </c>
      <c r="G1474" t="str">
        <f t="shared" si="229"/>
        <v>Off</v>
      </c>
      <c r="H1474" t="str">
        <f t="shared" si="229"/>
        <v>Off</v>
      </c>
      <c r="I1474" t="str">
        <f t="shared" si="229"/>
        <v>Off</v>
      </c>
    </row>
    <row r="1475" spans="1:9">
      <c r="A1475" t="s">
        <v>113</v>
      </c>
      <c r="B1475" t="str">
        <f t="shared" si="229"/>
        <v>Off</v>
      </c>
      <c r="C1475" t="str">
        <f t="shared" si="229"/>
        <v>Off</v>
      </c>
      <c r="D1475" t="str">
        <f t="shared" si="229"/>
        <v>Off</v>
      </c>
      <c r="E1475" t="str">
        <f t="shared" si="229"/>
        <v>Off</v>
      </c>
      <c r="F1475" t="str">
        <f t="shared" si="229"/>
        <v>Off</v>
      </c>
      <c r="G1475" t="str">
        <f t="shared" si="229"/>
        <v>Off</v>
      </c>
      <c r="H1475" t="str">
        <f t="shared" si="229"/>
        <v>Off</v>
      </c>
      <c r="I1475" t="str">
        <f t="shared" si="229"/>
        <v>Off</v>
      </c>
    </row>
    <row r="1476" spans="1:9">
      <c r="A1476" t="s">
        <v>2465</v>
      </c>
      <c r="B1476" t="str">
        <f t="shared" si="229"/>
        <v>Off</v>
      </c>
      <c r="C1476" t="str">
        <f t="shared" si="229"/>
        <v>Off</v>
      </c>
      <c r="D1476" t="str">
        <f t="shared" si="229"/>
        <v>Off</v>
      </c>
      <c r="E1476" t="str">
        <f t="shared" si="229"/>
        <v>Off</v>
      </c>
      <c r="F1476" t="str">
        <f t="shared" si="229"/>
        <v>Off</v>
      </c>
      <c r="G1476" t="str">
        <f t="shared" si="229"/>
        <v>Off</v>
      </c>
      <c r="H1476" t="str">
        <f t="shared" si="229"/>
        <v>Off</v>
      </c>
      <c r="I1476" t="str">
        <f t="shared" si="229"/>
        <v>Off</v>
      </c>
    </row>
    <row r="1477" spans="1:9">
      <c r="A1477" t="s">
        <v>39</v>
      </c>
      <c r="B1477" t="str">
        <f t="shared" si="229"/>
        <v>Off</v>
      </c>
      <c r="C1477" t="str">
        <f t="shared" si="229"/>
        <v>Off</v>
      </c>
      <c r="D1477" t="str">
        <f t="shared" si="229"/>
        <v>Off</v>
      </c>
      <c r="E1477" t="str">
        <f t="shared" si="229"/>
        <v>Off</v>
      </c>
      <c r="F1477" t="str">
        <f t="shared" si="229"/>
        <v>Off</v>
      </c>
      <c r="G1477" t="str">
        <f t="shared" si="229"/>
        <v>Off</v>
      </c>
      <c r="H1477" t="str">
        <f t="shared" si="229"/>
        <v>Off</v>
      </c>
      <c r="I1477" t="str">
        <f t="shared" si="229"/>
        <v>Off</v>
      </c>
    </row>
    <row r="1478" spans="1:9">
      <c r="A1478" t="s">
        <v>150</v>
      </c>
      <c r="B1478" t="str">
        <f t="shared" ref="B1478:I1478" si="230">"OFF"</f>
        <v>OFF</v>
      </c>
      <c r="C1478" t="str">
        <f t="shared" si="230"/>
        <v>OFF</v>
      </c>
      <c r="D1478" t="str">
        <f t="shared" si="230"/>
        <v>OFF</v>
      </c>
      <c r="E1478" t="str">
        <f t="shared" si="230"/>
        <v>OFF</v>
      </c>
      <c r="F1478" t="str">
        <f t="shared" si="230"/>
        <v>OFF</v>
      </c>
      <c r="G1478" t="str">
        <f t="shared" si="230"/>
        <v>OFF</v>
      </c>
      <c r="H1478" t="str">
        <f t="shared" si="230"/>
        <v>OFF</v>
      </c>
      <c r="I1478" t="str">
        <f t="shared" si="230"/>
        <v>OFF</v>
      </c>
    </row>
    <row r="1479" spans="1:9">
      <c r="A1479" t="s">
        <v>2466</v>
      </c>
      <c r="B1479" t="str">
        <f t="shared" ref="B1479:I1485" si="231">"Off"</f>
        <v>Off</v>
      </c>
      <c r="C1479" t="str">
        <f t="shared" si="231"/>
        <v>Off</v>
      </c>
      <c r="D1479" t="str">
        <f t="shared" si="231"/>
        <v>Off</v>
      </c>
      <c r="E1479" t="str">
        <f t="shared" si="231"/>
        <v>Off</v>
      </c>
      <c r="F1479" t="str">
        <f t="shared" si="231"/>
        <v>Off</v>
      </c>
      <c r="G1479" t="str">
        <f t="shared" si="231"/>
        <v>Off</v>
      </c>
      <c r="H1479" t="str">
        <f t="shared" si="231"/>
        <v>Off</v>
      </c>
      <c r="I1479" t="str">
        <f t="shared" si="231"/>
        <v>Off</v>
      </c>
    </row>
    <row r="1480" spans="1:9">
      <c r="A1480" t="s">
        <v>125</v>
      </c>
      <c r="B1480" t="str">
        <f t="shared" si="231"/>
        <v>Off</v>
      </c>
      <c r="C1480" t="str">
        <f t="shared" si="231"/>
        <v>Off</v>
      </c>
      <c r="D1480" t="str">
        <f t="shared" si="231"/>
        <v>Off</v>
      </c>
      <c r="E1480" t="str">
        <f t="shared" si="231"/>
        <v>Off</v>
      </c>
      <c r="F1480" t="str">
        <f t="shared" si="231"/>
        <v>Off</v>
      </c>
      <c r="G1480" t="str">
        <f t="shared" si="231"/>
        <v>Off</v>
      </c>
      <c r="H1480" t="str">
        <f t="shared" si="231"/>
        <v>Off</v>
      </c>
      <c r="I1480" t="str">
        <f t="shared" si="231"/>
        <v>Off</v>
      </c>
    </row>
    <row r="1481" spans="1:9">
      <c r="A1481" t="s">
        <v>126</v>
      </c>
      <c r="B1481" t="str">
        <f t="shared" si="231"/>
        <v>Off</v>
      </c>
      <c r="C1481" t="str">
        <f t="shared" si="231"/>
        <v>Off</v>
      </c>
      <c r="D1481" t="str">
        <f t="shared" si="231"/>
        <v>Off</v>
      </c>
      <c r="E1481" t="str">
        <f t="shared" si="231"/>
        <v>Off</v>
      </c>
      <c r="F1481" t="str">
        <f t="shared" si="231"/>
        <v>Off</v>
      </c>
      <c r="G1481" t="str">
        <f t="shared" si="231"/>
        <v>Off</v>
      </c>
      <c r="H1481" t="str">
        <f t="shared" si="231"/>
        <v>Off</v>
      </c>
      <c r="I1481" t="str">
        <f t="shared" si="231"/>
        <v>Off</v>
      </c>
    </row>
    <row r="1482" spans="1:9">
      <c r="A1482" t="s">
        <v>48</v>
      </c>
      <c r="B1482" t="str">
        <f t="shared" si="231"/>
        <v>Off</v>
      </c>
      <c r="C1482" t="str">
        <f t="shared" si="231"/>
        <v>Off</v>
      </c>
      <c r="D1482" t="str">
        <f t="shared" si="231"/>
        <v>Off</v>
      </c>
      <c r="E1482" t="str">
        <f t="shared" si="231"/>
        <v>Off</v>
      </c>
      <c r="F1482" t="str">
        <f t="shared" si="231"/>
        <v>Off</v>
      </c>
      <c r="G1482" t="str">
        <f t="shared" si="231"/>
        <v>Off</v>
      </c>
      <c r="H1482" t="str">
        <f t="shared" si="231"/>
        <v>Off</v>
      </c>
      <c r="I1482" t="str">
        <f t="shared" si="231"/>
        <v>Off</v>
      </c>
    </row>
    <row r="1483" spans="1:9">
      <c r="A1483" t="s">
        <v>121</v>
      </c>
      <c r="B1483" t="str">
        <f t="shared" si="231"/>
        <v>Off</v>
      </c>
      <c r="C1483" t="str">
        <f t="shared" si="231"/>
        <v>Off</v>
      </c>
      <c r="D1483" t="str">
        <f t="shared" si="231"/>
        <v>Off</v>
      </c>
      <c r="E1483" t="str">
        <f t="shared" si="231"/>
        <v>Off</v>
      </c>
      <c r="F1483" t="str">
        <f t="shared" si="231"/>
        <v>Off</v>
      </c>
      <c r="G1483" t="str">
        <f t="shared" si="231"/>
        <v>Off</v>
      </c>
      <c r="H1483" t="str">
        <f t="shared" si="231"/>
        <v>Off</v>
      </c>
      <c r="I1483" t="str">
        <f t="shared" si="231"/>
        <v>Off</v>
      </c>
    </row>
    <row r="1484" spans="1:9">
      <c r="A1484" t="s">
        <v>2467</v>
      </c>
      <c r="B1484" t="str">
        <f t="shared" si="231"/>
        <v>Off</v>
      </c>
      <c r="C1484" t="str">
        <f t="shared" si="231"/>
        <v>Off</v>
      </c>
      <c r="D1484" t="str">
        <f t="shared" si="231"/>
        <v>Off</v>
      </c>
      <c r="E1484" t="str">
        <f t="shared" si="231"/>
        <v>Off</v>
      </c>
      <c r="F1484" t="str">
        <f t="shared" si="231"/>
        <v>Off</v>
      </c>
      <c r="G1484" t="str">
        <f t="shared" si="231"/>
        <v>Off</v>
      </c>
      <c r="H1484" t="str">
        <f t="shared" si="231"/>
        <v>Off</v>
      </c>
      <c r="I1484" t="str">
        <f t="shared" si="231"/>
        <v>Off</v>
      </c>
    </row>
    <row r="1485" spans="1:9">
      <c r="A1485" t="s">
        <v>123</v>
      </c>
      <c r="B1485" t="str">
        <f t="shared" si="231"/>
        <v>Off</v>
      </c>
      <c r="C1485" t="str">
        <f t="shared" si="231"/>
        <v>Off</v>
      </c>
      <c r="D1485" t="str">
        <f t="shared" si="231"/>
        <v>Off</v>
      </c>
      <c r="E1485" t="str">
        <f t="shared" si="231"/>
        <v>Off</v>
      </c>
      <c r="F1485" t="str">
        <f t="shared" si="231"/>
        <v>Off</v>
      </c>
      <c r="G1485" t="str">
        <f t="shared" si="231"/>
        <v>Off</v>
      </c>
      <c r="H1485" t="str">
        <f t="shared" si="231"/>
        <v>Off</v>
      </c>
      <c r="I1485" t="str">
        <f t="shared" si="231"/>
        <v>Off</v>
      </c>
    </row>
    <row r="1487" spans="1:9">
      <c r="B1487" t="s">
        <v>2475</v>
      </c>
      <c r="C1487">
        <v>9</v>
      </c>
      <c r="D1487">
        <v>8</v>
      </c>
      <c r="E1487">
        <v>1</v>
      </c>
    </row>
    <row r="1488" spans="1:9">
      <c r="B1488" t="s">
        <v>1511</v>
      </c>
      <c r="C1488" t="s">
        <v>1512</v>
      </c>
      <c r="D1488" t="s">
        <v>1513</v>
      </c>
      <c r="E1488" t="s">
        <v>1514</v>
      </c>
      <c r="F1488" t="s">
        <v>1515</v>
      </c>
      <c r="G1488" t="s">
        <v>1516</v>
      </c>
      <c r="H1488" t="s">
        <v>1517</v>
      </c>
      <c r="I1488" t="s">
        <v>1518</v>
      </c>
    </row>
    <row r="1489" spans="1:9">
      <c r="A1489" t="s">
        <v>1519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</row>
    <row r="1490" spans="1:9">
      <c r="A1490" t="s">
        <v>2476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</row>
    <row r="1491" spans="1:9">
      <c r="A1491" t="s">
        <v>2477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</row>
    <row r="1492" spans="1:9">
      <c r="A1492" t="s">
        <v>115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</row>
    <row r="1493" spans="1:9">
      <c r="A1493" t="s">
        <v>116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</row>
    <row r="1494" spans="1:9">
      <c r="A1494" t="s">
        <v>2478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</row>
    <row r="1495" spans="1:9">
      <c r="A1495" t="s">
        <v>41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</row>
    <row r="1496" spans="1:9">
      <c r="A1496" t="s">
        <v>42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</row>
    <row r="1497" spans="1:9">
      <c r="A1497" t="s">
        <v>2479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</row>
    <row r="1499" spans="1:9">
      <c r="B1499" t="s">
        <v>2480</v>
      </c>
      <c r="C1499">
        <v>9</v>
      </c>
      <c r="D1499">
        <v>8</v>
      </c>
      <c r="E1499">
        <v>1</v>
      </c>
    </row>
    <row r="1500" spans="1:9">
      <c r="B1500" t="s">
        <v>1511</v>
      </c>
      <c r="C1500" t="s">
        <v>1512</v>
      </c>
      <c r="D1500" t="s">
        <v>1513</v>
      </c>
      <c r="E1500" t="s">
        <v>1514</v>
      </c>
      <c r="F1500" t="s">
        <v>1515</v>
      </c>
      <c r="G1500" t="s">
        <v>1516</v>
      </c>
      <c r="H1500" t="s">
        <v>1517</v>
      </c>
      <c r="I1500" t="s">
        <v>1518</v>
      </c>
    </row>
    <row r="1501" spans="1:9">
      <c r="A1501" t="s">
        <v>1519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</row>
    <row r="1502" spans="1:9">
      <c r="A1502" t="s">
        <v>2476</v>
      </c>
      <c r="B1502">
        <v>0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</row>
    <row r="1503" spans="1:9">
      <c r="A1503" t="s">
        <v>2477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</row>
    <row r="1504" spans="1:9">
      <c r="A1504" t="s">
        <v>115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</row>
    <row r="1505" spans="1:9">
      <c r="A1505" t="s">
        <v>116</v>
      </c>
      <c r="B1505">
        <v>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</row>
    <row r="1506" spans="1:9">
      <c r="A1506" t="s">
        <v>2478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</row>
    <row r="1507" spans="1:9">
      <c r="A1507" t="s">
        <v>41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</row>
    <row r="1508" spans="1:9">
      <c r="A1508" t="s">
        <v>42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</row>
    <row r="1509" spans="1:9">
      <c r="A1509" t="s">
        <v>2479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</row>
    <row r="1511" spans="1:9">
      <c r="B1511" t="s">
        <v>2481</v>
      </c>
      <c r="C1511">
        <v>9</v>
      </c>
      <c r="D1511">
        <v>8</v>
      </c>
      <c r="E1511">
        <v>1</v>
      </c>
    </row>
    <row r="1512" spans="1:9">
      <c r="B1512" t="s">
        <v>1511</v>
      </c>
      <c r="C1512" t="s">
        <v>1512</v>
      </c>
      <c r="D1512" t="s">
        <v>1513</v>
      </c>
      <c r="E1512" t="s">
        <v>1514</v>
      </c>
      <c r="F1512" t="s">
        <v>1515</v>
      </c>
      <c r="G1512" t="s">
        <v>1516</v>
      </c>
      <c r="H1512" t="s">
        <v>1517</v>
      </c>
      <c r="I1512" t="s">
        <v>1518</v>
      </c>
    </row>
    <row r="1513" spans="1:9">
      <c r="A1513" t="s">
        <v>1519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</row>
    <row r="1514" spans="1:9">
      <c r="A1514" t="s">
        <v>2476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</row>
    <row r="1515" spans="1:9">
      <c r="A1515" t="s">
        <v>2477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</row>
    <row r="1516" spans="1:9">
      <c r="A1516" t="s">
        <v>115</v>
      </c>
      <c r="B1516">
        <v>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</row>
    <row r="1517" spans="1:9">
      <c r="A1517" t="s">
        <v>116</v>
      </c>
      <c r="B1517">
        <v>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</row>
    <row r="1518" spans="1:9">
      <c r="A1518" t="s">
        <v>2478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</row>
    <row r="1519" spans="1:9">
      <c r="A1519" t="s">
        <v>41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</row>
    <row r="1520" spans="1:9">
      <c r="A1520" t="s">
        <v>42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</row>
    <row r="1521" spans="1:17">
      <c r="A1521" t="s">
        <v>2479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</row>
    <row r="1523" spans="1:17">
      <c r="B1523" t="s">
        <v>2482</v>
      </c>
      <c r="C1523">
        <v>44</v>
      </c>
      <c r="D1523">
        <v>16</v>
      </c>
      <c r="E1523">
        <v>1</v>
      </c>
    </row>
    <row r="1524" spans="1:17">
      <c r="B1524" t="s">
        <v>1139</v>
      </c>
      <c r="C1524" t="s">
        <v>1140</v>
      </c>
      <c r="D1524" t="s">
        <v>1141</v>
      </c>
      <c r="E1524" t="s">
        <v>1142</v>
      </c>
      <c r="F1524" t="s">
        <v>1143</v>
      </c>
      <c r="G1524" t="s">
        <v>1144</v>
      </c>
      <c r="H1524" t="s">
        <v>1145</v>
      </c>
      <c r="I1524" t="s">
        <v>1146</v>
      </c>
      <c r="J1524" t="s">
        <v>1147</v>
      </c>
      <c r="K1524" t="s">
        <v>1148</v>
      </c>
      <c r="L1524" t="s">
        <v>1149</v>
      </c>
      <c r="M1524" t="s">
        <v>1150</v>
      </c>
      <c r="N1524" t="s">
        <v>1151</v>
      </c>
      <c r="O1524" t="s">
        <v>1152</v>
      </c>
      <c r="P1524" t="s">
        <v>1153</v>
      </c>
      <c r="Q1524" t="s">
        <v>1154</v>
      </c>
    </row>
    <row r="1525" spans="1:17">
      <c r="A1525" t="s">
        <v>110</v>
      </c>
      <c r="B1525" t="str">
        <f t="shared" ref="B1525:Q1525" si="232">"Off"</f>
        <v>Off</v>
      </c>
      <c r="C1525" t="str">
        <f t="shared" si="232"/>
        <v>Off</v>
      </c>
      <c r="D1525" t="str">
        <f t="shared" si="232"/>
        <v>Off</v>
      </c>
      <c r="E1525" t="str">
        <f t="shared" si="232"/>
        <v>Off</v>
      </c>
      <c r="F1525" t="str">
        <f t="shared" si="232"/>
        <v>Off</v>
      </c>
      <c r="G1525" t="str">
        <f t="shared" si="232"/>
        <v>Off</v>
      </c>
      <c r="H1525" t="str">
        <f t="shared" si="232"/>
        <v>Off</v>
      </c>
      <c r="I1525" t="str">
        <f t="shared" si="232"/>
        <v>Off</v>
      </c>
      <c r="J1525" t="str">
        <f t="shared" si="232"/>
        <v>Off</v>
      </c>
      <c r="K1525" t="str">
        <f t="shared" si="232"/>
        <v>Off</v>
      </c>
      <c r="L1525" t="str">
        <f t="shared" si="232"/>
        <v>Off</v>
      </c>
      <c r="M1525" t="str">
        <f t="shared" si="232"/>
        <v>Off</v>
      </c>
      <c r="N1525" t="str">
        <f t="shared" si="232"/>
        <v>Off</v>
      </c>
      <c r="O1525" t="str">
        <f t="shared" si="232"/>
        <v>Off</v>
      </c>
      <c r="P1525" t="str">
        <f t="shared" si="232"/>
        <v>Off</v>
      </c>
      <c r="Q1525" t="str">
        <f t="shared" si="232"/>
        <v>Off</v>
      </c>
    </row>
    <row r="1526" spans="1:17">
      <c r="A1526" t="s">
        <v>2483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</row>
    <row r="1527" spans="1:17">
      <c r="A1527" t="s">
        <v>176</v>
      </c>
      <c r="B1527" t="str">
        <f t="shared" ref="B1527:Q1528" si="233">"Off"</f>
        <v>Off</v>
      </c>
      <c r="C1527" t="str">
        <f t="shared" si="233"/>
        <v>Off</v>
      </c>
      <c r="D1527" t="str">
        <f t="shared" si="233"/>
        <v>Off</v>
      </c>
      <c r="E1527" t="str">
        <f t="shared" si="233"/>
        <v>Off</v>
      </c>
      <c r="F1527" t="str">
        <f t="shared" si="233"/>
        <v>Off</v>
      </c>
      <c r="G1527" t="str">
        <f t="shared" si="233"/>
        <v>Off</v>
      </c>
      <c r="H1527" t="str">
        <f t="shared" si="233"/>
        <v>Off</v>
      </c>
      <c r="I1527" t="str">
        <f t="shared" si="233"/>
        <v>Off</v>
      </c>
      <c r="J1527" t="str">
        <f t="shared" si="233"/>
        <v>Off</v>
      </c>
      <c r="K1527" t="str">
        <f t="shared" si="233"/>
        <v>Off</v>
      </c>
      <c r="L1527" t="str">
        <f t="shared" si="233"/>
        <v>Off</v>
      </c>
      <c r="M1527" t="str">
        <f t="shared" si="233"/>
        <v>Off</v>
      </c>
      <c r="N1527" t="str">
        <f t="shared" si="233"/>
        <v>Off</v>
      </c>
      <c r="O1527" t="str">
        <f t="shared" si="233"/>
        <v>Off</v>
      </c>
      <c r="P1527" t="str">
        <f t="shared" si="233"/>
        <v>Off</v>
      </c>
      <c r="Q1527" t="str">
        <f t="shared" si="233"/>
        <v>Off</v>
      </c>
    </row>
    <row r="1528" spans="1:17">
      <c r="A1528" t="s">
        <v>178</v>
      </c>
      <c r="B1528" t="str">
        <f t="shared" si="233"/>
        <v>Off</v>
      </c>
      <c r="C1528" t="str">
        <f t="shared" si="233"/>
        <v>Off</v>
      </c>
      <c r="D1528" t="str">
        <f t="shared" si="233"/>
        <v>Off</v>
      </c>
      <c r="E1528" t="str">
        <f t="shared" si="233"/>
        <v>Off</v>
      </c>
      <c r="F1528" t="str">
        <f t="shared" si="233"/>
        <v>Off</v>
      </c>
      <c r="G1528" t="str">
        <f t="shared" si="233"/>
        <v>Off</v>
      </c>
      <c r="H1528" t="str">
        <f t="shared" si="233"/>
        <v>Off</v>
      </c>
      <c r="I1528" t="str">
        <f t="shared" si="233"/>
        <v>Off</v>
      </c>
      <c r="J1528" t="str">
        <f t="shared" si="233"/>
        <v>Off</v>
      </c>
      <c r="K1528" t="str">
        <f t="shared" si="233"/>
        <v>Off</v>
      </c>
      <c r="L1528" t="str">
        <f t="shared" si="233"/>
        <v>Off</v>
      </c>
      <c r="M1528" t="str">
        <f t="shared" si="233"/>
        <v>Off</v>
      </c>
      <c r="N1528" t="str">
        <f t="shared" si="233"/>
        <v>Off</v>
      </c>
      <c r="O1528" t="str">
        <f t="shared" si="233"/>
        <v>Off</v>
      </c>
      <c r="P1528" t="str">
        <f t="shared" si="233"/>
        <v>Off</v>
      </c>
      <c r="Q1528" t="str">
        <f t="shared" si="233"/>
        <v>Off</v>
      </c>
    </row>
    <row r="1529" spans="1:17">
      <c r="A1529" t="s">
        <v>2484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</row>
    <row r="1530" spans="1:17">
      <c r="A1530" t="s">
        <v>2485</v>
      </c>
      <c r="B1530">
        <v>5</v>
      </c>
      <c r="C1530">
        <v>5</v>
      </c>
      <c r="D1530">
        <v>7</v>
      </c>
      <c r="E1530">
        <v>7</v>
      </c>
      <c r="F1530">
        <v>1</v>
      </c>
      <c r="G1530">
        <v>1</v>
      </c>
      <c r="H1530">
        <v>3</v>
      </c>
      <c r="I1530">
        <v>3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</row>
    <row r="1531" spans="1:17">
      <c r="A1531" t="s">
        <v>2486</v>
      </c>
      <c r="B1531">
        <v>6</v>
      </c>
      <c r="C1531">
        <v>6</v>
      </c>
      <c r="D1531">
        <v>8</v>
      </c>
      <c r="E1531">
        <v>8</v>
      </c>
      <c r="F1531">
        <v>2</v>
      </c>
      <c r="G1531">
        <v>2</v>
      </c>
      <c r="H1531">
        <v>4</v>
      </c>
      <c r="I1531">
        <v>4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</row>
    <row r="1532" spans="1:17">
      <c r="A1532" t="s">
        <v>2487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</row>
    <row r="1533" spans="1:17">
      <c r="A1533" t="s">
        <v>2488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</row>
    <row r="1534" spans="1:17">
      <c r="A1534" t="s">
        <v>2489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</row>
    <row r="1535" spans="1:17">
      <c r="A1535" t="s">
        <v>2490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</row>
    <row r="1536" spans="1:17">
      <c r="A1536" t="s">
        <v>2491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</row>
    <row r="1537" spans="1:17">
      <c r="A1537" t="s">
        <v>2492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</row>
    <row r="1538" spans="1:17">
      <c r="A1538" t="s">
        <v>111</v>
      </c>
      <c r="B1538" t="str">
        <f t="shared" ref="B1538:Q1538" si="234">"Off"</f>
        <v>Off</v>
      </c>
      <c r="C1538" t="str">
        <f t="shared" si="234"/>
        <v>Off</v>
      </c>
      <c r="D1538" t="str">
        <f t="shared" si="234"/>
        <v>Off</v>
      </c>
      <c r="E1538" t="str">
        <f t="shared" si="234"/>
        <v>Off</v>
      </c>
      <c r="F1538" t="str">
        <f t="shared" si="234"/>
        <v>Off</v>
      </c>
      <c r="G1538" t="str">
        <f t="shared" si="234"/>
        <v>Off</v>
      </c>
      <c r="H1538" t="str">
        <f t="shared" si="234"/>
        <v>Off</v>
      </c>
      <c r="I1538" t="str">
        <f t="shared" si="234"/>
        <v>Off</v>
      </c>
      <c r="J1538" t="str">
        <f t="shared" si="234"/>
        <v>Off</v>
      </c>
      <c r="K1538" t="str">
        <f t="shared" si="234"/>
        <v>Off</v>
      </c>
      <c r="L1538" t="str">
        <f t="shared" si="234"/>
        <v>Off</v>
      </c>
      <c r="M1538" t="str">
        <f t="shared" si="234"/>
        <v>Off</v>
      </c>
      <c r="N1538" t="str">
        <f t="shared" si="234"/>
        <v>Off</v>
      </c>
      <c r="O1538" t="str">
        <f t="shared" si="234"/>
        <v>Off</v>
      </c>
      <c r="P1538" t="str">
        <f t="shared" si="234"/>
        <v>Off</v>
      </c>
      <c r="Q1538" t="str">
        <f t="shared" si="234"/>
        <v>Off</v>
      </c>
    </row>
    <row r="1539" spans="1:17">
      <c r="A1539" t="s">
        <v>47</v>
      </c>
      <c r="B1539" t="str">
        <f>"Off"</f>
        <v>Off</v>
      </c>
      <c r="C1539" t="str">
        <f>"On"</f>
        <v>On</v>
      </c>
      <c r="D1539" t="str">
        <f>"Off"</f>
        <v>Off</v>
      </c>
      <c r="E1539" t="str">
        <f>"On"</f>
        <v>On</v>
      </c>
      <c r="F1539" t="str">
        <f>"Off"</f>
        <v>Off</v>
      </c>
      <c r="G1539" t="str">
        <f>"On"</f>
        <v>On</v>
      </c>
      <c r="H1539" t="str">
        <f>"Off"</f>
        <v>Off</v>
      </c>
      <c r="I1539" t="str">
        <f>"On"</f>
        <v>On</v>
      </c>
      <c r="J1539" t="str">
        <f t="shared" ref="J1539:Q1539" si="235">"Off"</f>
        <v>Off</v>
      </c>
      <c r="K1539" t="str">
        <f t="shared" si="235"/>
        <v>Off</v>
      </c>
      <c r="L1539" t="str">
        <f t="shared" si="235"/>
        <v>Off</v>
      </c>
      <c r="M1539" t="str">
        <f t="shared" si="235"/>
        <v>Off</v>
      </c>
      <c r="N1539" t="str">
        <f t="shared" si="235"/>
        <v>Off</v>
      </c>
      <c r="O1539" t="str">
        <f t="shared" si="235"/>
        <v>Off</v>
      </c>
      <c r="P1539" t="str">
        <f t="shared" si="235"/>
        <v>Off</v>
      </c>
      <c r="Q1539" t="str">
        <f t="shared" si="235"/>
        <v>Off</v>
      </c>
    </row>
    <row r="1540" spans="1:17">
      <c r="A1540" t="s">
        <v>2493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</row>
    <row r="1541" spans="1:17">
      <c r="A1541" t="s">
        <v>2494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</row>
    <row r="1542" spans="1:17">
      <c r="A1542" t="s">
        <v>112</v>
      </c>
      <c r="B1542" t="str">
        <f t="shared" ref="B1542:I1542" si="236">"On"</f>
        <v>On</v>
      </c>
      <c r="C1542" t="str">
        <f t="shared" si="236"/>
        <v>On</v>
      </c>
      <c r="D1542" t="str">
        <f t="shared" si="236"/>
        <v>On</v>
      </c>
      <c r="E1542" t="str">
        <f t="shared" si="236"/>
        <v>On</v>
      </c>
      <c r="F1542" t="str">
        <f t="shared" si="236"/>
        <v>On</v>
      </c>
      <c r="G1542" t="str">
        <f t="shared" si="236"/>
        <v>On</v>
      </c>
      <c r="H1542" t="str">
        <f t="shared" si="236"/>
        <v>On</v>
      </c>
      <c r="I1542" t="str">
        <f t="shared" si="236"/>
        <v>On</v>
      </c>
      <c r="J1542" t="str">
        <f t="shared" ref="J1542:Q1542" si="237">"Off"</f>
        <v>Off</v>
      </c>
      <c r="K1542" t="str">
        <f t="shared" si="237"/>
        <v>Off</v>
      </c>
      <c r="L1542" t="str">
        <f t="shared" si="237"/>
        <v>Off</v>
      </c>
      <c r="M1542" t="str">
        <f t="shared" si="237"/>
        <v>Off</v>
      </c>
      <c r="N1542" t="str">
        <f t="shared" si="237"/>
        <v>Off</v>
      </c>
      <c r="O1542" t="str">
        <f t="shared" si="237"/>
        <v>Off</v>
      </c>
      <c r="P1542" t="str">
        <f t="shared" si="237"/>
        <v>Off</v>
      </c>
      <c r="Q1542" t="str">
        <f t="shared" si="237"/>
        <v>Off</v>
      </c>
    </row>
    <row r="1543" spans="1:17">
      <c r="A1543" t="s">
        <v>2476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</row>
    <row r="1544" spans="1:17">
      <c r="A1544" t="s">
        <v>113</v>
      </c>
      <c r="B1544" t="str">
        <f t="shared" ref="B1544:Q1545" si="238">"Off"</f>
        <v>Off</v>
      </c>
      <c r="C1544" t="str">
        <f t="shared" si="238"/>
        <v>Off</v>
      </c>
      <c r="D1544" t="str">
        <f t="shared" si="238"/>
        <v>Off</v>
      </c>
      <c r="E1544" t="str">
        <f t="shared" si="238"/>
        <v>Off</v>
      </c>
      <c r="F1544" t="str">
        <f t="shared" si="238"/>
        <v>Off</v>
      </c>
      <c r="G1544" t="str">
        <f t="shared" si="238"/>
        <v>Off</v>
      </c>
      <c r="H1544" t="str">
        <f t="shared" si="238"/>
        <v>Off</v>
      </c>
      <c r="I1544" t="str">
        <f t="shared" si="238"/>
        <v>Off</v>
      </c>
      <c r="J1544" t="str">
        <f t="shared" si="238"/>
        <v>Off</v>
      </c>
      <c r="K1544" t="str">
        <f t="shared" si="238"/>
        <v>Off</v>
      </c>
      <c r="L1544" t="str">
        <f t="shared" si="238"/>
        <v>Off</v>
      </c>
      <c r="M1544" t="str">
        <f t="shared" si="238"/>
        <v>Off</v>
      </c>
      <c r="N1544" t="str">
        <f t="shared" si="238"/>
        <v>Off</v>
      </c>
      <c r="O1544" t="str">
        <f t="shared" si="238"/>
        <v>Off</v>
      </c>
      <c r="P1544" t="str">
        <f t="shared" si="238"/>
        <v>Off</v>
      </c>
      <c r="Q1544" t="str">
        <f t="shared" si="238"/>
        <v>Off</v>
      </c>
    </row>
    <row r="1545" spans="1:17">
      <c r="A1545" t="s">
        <v>2465</v>
      </c>
      <c r="B1545" t="str">
        <f t="shared" si="238"/>
        <v>Off</v>
      </c>
      <c r="C1545" t="str">
        <f t="shared" si="238"/>
        <v>Off</v>
      </c>
      <c r="D1545" t="str">
        <f t="shared" si="238"/>
        <v>Off</v>
      </c>
      <c r="E1545" t="str">
        <f t="shared" si="238"/>
        <v>Off</v>
      </c>
      <c r="F1545" t="str">
        <f t="shared" si="238"/>
        <v>Off</v>
      </c>
      <c r="G1545" t="str">
        <f t="shared" si="238"/>
        <v>Off</v>
      </c>
      <c r="H1545" t="str">
        <f t="shared" si="238"/>
        <v>Off</v>
      </c>
      <c r="I1545" t="str">
        <f t="shared" si="238"/>
        <v>Off</v>
      </c>
      <c r="J1545" t="str">
        <f t="shared" si="238"/>
        <v>Off</v>
      </c>
      <c r="K1545" t="str">
        <f t="shared" si="238"/>
        <v>Off</v>
      </c>
      <c r="L1545" t="str">
        <f t="shared" si="238"/>
        <v>Off</v>
      </c>
      <c r="M1545" t="str">
        <f t="shared" si="238"/>
        <v>Off</v>
      </c>
      <c r="N1545" t="str">
        <f t="shared" si="238"/>
        <v>Off</v>
      </c>
      <c r="O1545" t="str">
        <f t="shared" si="238"/>
        <v>Off</v>
      </c>
      <c r="P1545" t="str">
        <f t="shared" si="238"/>
        <v>Off</v>
      </c>
      <c r="Q1545" t="str">
        <f t="shared" si="238"/>
        <v>Off</v>
      </c>
    </row>
    <row r="1546" spans="1:17">
      <c r="A1546" t="s">
        <v>44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</row>
    <row r="1547" spans="1:17">
      <c r="A1547" t="s">
        <v>114</v>
      </c>
      <c r="B1547" t="str">
        <f t="shared" ref="B1547:Q1547" si="239">"Off"</f>
        <v>Off</v>
      </c>
      <c r="C1547" t="str">
        <f t="shared" si="239"/>
        <v>Off</v>
      </c>
      <c r="D1547" t="str">
        <f t="shared" si="239"/>
        <v>Off</v>
      </c>
      <c r="E1547" t="str">
        <f t="shared" si="239"/>
        <v>Off</v>
      </c>
      <c r="F1547" t="str">
        <f t="shared" si="239"/>
        <v>Off</v>
      </c>
      <c r="G1547" t="str">
        <f t="shared" si="239"/>
        <v>Off</v>
      </c>
      <c r="H1547" t="str">
        <f t="shared" si="239"/>
        <v>Off</v>
      </c>
      <c r="I1547" t="str">
        <f t="shared" si="239"/>
        <v>Off</v>
      </c>
      <c r="J1547" t="str">
        <f t="shared" si="239"/>
        <v>Off</v>
      </c>
      <c r="K1547" t="str">
        <f t="shared" si="239"/>
        <v>Off</v>
      </c>
      <c r="L1547" t="str">
        <f t="shared" si="239"/>
        <v>Off</v>
      </c>
      <c r="M1547" t="str">
        <f t="shared" si="239"/>
        <v>Off</v>
      </c>
      <c r="N1547" t="str">
        <f t="shared" si="239"/>
        <v>Off</v>
      </c>
      <c r="O1547" t="str">
        <f t="shared" si="239"/>
        <v>Off</v>
      </c>
      <c r="P1547" t="str">
        <f t="shared" si="239"/>
        <v>Off</v>
      </c>
      <c r="Q1547" t="str">
        <f t="shared" si="239"/>
        <v>Off</v>
      </c>
    </row>
    <row r="1548" spans="1:17">
      <c r="A1548" t="s">
        <v>2477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</row>
    <row r="1549" spans="1:17">
      <c r="A1549" t="s">
        <v>115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</row>
    <row r="1550" spans="1:17">
      <c r="A1550" t="s">
        <v>46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</row>
    <row r="1551" spans="1:17">
      <c r="A1551" t="s">
        <v>116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</row>
    <row r="1552" spans="1:17">
      <c r="A1552" t="s">
        <v>117</v>
      </c>
      <c r="B1552" t="str">
        <f t="shared" ref="B1552:Q1554" si="240">"Off"</f>
        <v>Off</v>
      </c>
      <c r="C1552" t="str">
        <f t="shared" si="240"/>
        <v>Off</v>
      </c>
      <c r="D1552" t="str">
        <f t="shared" si="240"/>
        <v>Off</v>
      </c>
      <c r="E1552" t="str">
        <f t="shared" si="240"/>
        <v>Off</v>
      </c>
      <c r="F1552" t="str">
        <f t="shared" si="240"/>
        <v>Off</v>
      </c>
      <c r="G1552" t="str">
        <f t="shared" si="240"/>
        <v>Off</v>
      </c>
      <c r="H1552" t="str">
        <f t="shared" si="240"/>
        <v>Off</v>
      </c>
      <c r="I1552" t="str">
        <f t="shared" si="240"/>
        <v>Off</v>
      </c>
      <c r="J1552" t="str">
        <f t="shared" si="240"/>
        <v>Off</v>
      </c>
      <c r="K1552" t="str">
        <f t="shared" si="240"/>
        <v>Off</v>
      </c>
      <c r="L1552" t="str">
        <f t="shared" si="240"/>
        <v>Off</v>
      </c>
      <c r="M1552" t="str">
        <f t="shared" si="240"/>
        <v>Off</v>
      </c>
      <c r="N1552" t="str">
        <f t="shared" si="240"/>
        <v>Off</v>
      </c>
      <c r="O1552" t="str">
        <f t="shared" si="240"/>
        <v>Off</v>
      </c>
      <c r="P1552" t="str">
        <f t="shared" si="240"/>
        <v>Off</v>
      </c>
      <c r="Q1552" t="str">
        <f t="shared" si="240"/>
        <v>Off</v>
      </c>
    </row>
    <row r="1553" spans="1:17">
      <c r="A1553" t="s">
        <v>188</v>
      </c>
      <c r="B1553" t="str">
        <f t="shared" si="240"/>
        <v>Off</v>
      </c>
      <c r="C1553" t="str">
        <f t="shared" si="240"/>
        <v>Off</v>
      </c>
      <c r="D1553" t="str">
        <f t="shared" si="240"/>
        <v>Off</v>
      </c>
      <c r="E1553" t="str">
        <f t="shared" si="240"/>
        <v>Off</v>
      </c>
      <c r="F1553" t="str">
        <f t="shared" si="240"/>
        <v>Off</v>
      </c>
      <c r="G1553" t="str">
        <f t="shared" si="240"/>
        <v>Off</v>
      </c>
      <c r="H1553" t="str">
        <f t="shared" si="240"/>
        <v>Off</v>
      </c>
      <c r="I1553" t="str">
        <f t="shared" si="240"/>
        <v>Off</v>
      </c>
      <c r="J1553" t="str">
        <f t="shared" si="240"/>
        <v>Off</v>
      </c>
      <c r="K1553" t="str">
        <f t="shared" si="240"/>
        <v>Off</v>
      </c>
      <c r="L1553" t="str">
        <f t="shared" si="240"/>
        <v>Off</v>
      </c>
      <c r="M1553" t="str">
        <f t="shared" si="240"/>
        <v>Off</v>
      </c>
      <c r="N1553" t="str">
        <f t="shared" si="240"/>
        <v>Off</v>
      </c>
      <c r="O1553" t="str">
        <f t="shared" si="240"/>
        <v>Off</v>
      </c>
      <c r="P1553" t="str">
        <f t="shared" si="240"/>
        <v>Off</v>
      </c>
      <c r="Q1553" t="str">
        <f t="shared" si="240"/>
        <v>Off</v>
      </c>
    </row>
    <row r="1554" spans="1:17">
      <c r="A1554" t="s">
        <v>190</v>
      </c>
      <c r="B1554" t="str">
        <f t="shared" si="240"/>
        <v>Off</v>
      </c>
      <c r="C1554" t="str">
        <f t="shared" si="240"/>
        <v>Off</v>
      </c>
      <c r="D1554" t="str">
        <f t="shared" si="240"/>
        <v>Off</v>
      </c>
      <c r="E1554" t="str">
        <f t="shared" si="240"/>
        <v>Off</v>
      </c>
      <c r="F1554" t="str">
        <f t="shared" si="240"/>
        <v>Off</v>
      </c>
      <c r="G1554" t="str">
        <f t="shared" si="240"/>
        <v>Off</v>
      </c>
      <c r="H1554" t="str">
        <f t="shared" si="240"/>
        <v>Off</v>
      </c>
      <c r="I1554" t="str">
        <f t="shared" si="240"/>
        <v>Off</v>
      </c>
      <c r="J1554" t="str">
        <f t="shared" si="240"/>
        <v>Off</v>
      </c>
      <c r="K1554" t="str">
        <f t="shared" si="240"/>
        <v>Off</v>
      </c>
      <c r="L1554" t="str">
        <f t="shared" si="240"/>
        <v>Off</v>
      </c>
      <c r="M1554" t="str">
        <f t="shared" si="240"/>
        <v>Off</v>
      </c>
      <c r="N1554" t="str">
        <f t="shared" si="240"/>
        <v>Off</v>
      </c>
      <c r="O1554" t="str">
        <f t="shared" si="240"/>
        <v>Off</v>
      </c>
      <c r="P1554" t="str">
        <f t="shared" si="240"/>
        <v>Off</v>
      </c>
      <c r="Q1554" t="str">
        <f t="shared" si="240"/>
        <v>Off</v>
      </c>
    </row>
    <row r="1555" spans="1:17">
      <c r="A1555" t="s">
        <v>118</v>
      </c>
      <c r="B1555">
        <v>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</row>
    <row r="1556" spans="1:17">
      <c r="A1556" t="s">
        <v>119</v>
      </c>
      <c r="B1556" t="str">
        <f t="shared" ref="B1556:Q1556" si="241">"Off"</f>
        <v>Off</v>
      </c>
      <c r="C1556" t="str">
        <f t="shared" si="241"/>
        <v>Off</v>
      </c>
      <c r="D1556" t="str">
        <f t="shared" si="241"/>
        <v>Off</v>
      </c>
      <c r="E1556" t="str">
        <f t="shared" si="241"/>
        <v>Off</v>
      </c>
      <c r="F1556" t="str">
        <f t="shared" si="241"/>
        <v>Off</v>
      </c>
      <c r="G1556" t="str">
        <f t="shared" si="241"/>
        <v>Off</v>
      </c>
      <c r="H1556" t="str">
        <f t="shared" si="241"/>
        <v>Off</v>
      </c>
      <c r="I1556" t="str">
        <f t="shared" si="241"/>
        <v>Off</v>
      </c>
      <c r="J1556" t="str">
        <f t="shared" si="241"/>
        <v>Off</v>
      </c>
      <c r="K1556" t="str">
        <f t="shared" si="241"/>
        <v>Off</v>
      </c>
      <c r="L1556" t="str">
        <f t="shared" si="241"/>
        <v>Off</v>
      </c>
      <c r="M1556" t="str">
        <f t="shared" si="241"/>
        <v>Off</v>
      </c>
      <c r="N1556" t="str">
        <f t="shared" si="241"/>
        <v>Off</v>
      </c>
      <c r="O1556" t="str">
        <f t="shared" si="241"/>
        <v>Off</v>
      </c>
      <c r="P1556" t="str">
        <f t="shared" si="241"/>
        <v>Off</v>
      </c>
      <c r="Q1556" t="str">
        <f t="shared" si="241"/>
        <v>Off</v>
      </c>
    </row>
    <row r="1557" spans="1:17">
      <c r="A1557" t="s">
        <v>41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1</v>
      </c>
    </row>
    <row r="1558" spans="1:17">
      <c r="A1558" t="s">
        <v>120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2</v>
      </c>
    </row>
    <row r="1559" spans="1:17">
      <c r="A1559" t="s">
        <v>45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</row>
    <row r="1560" spans="1:17">
      <c r="A1560" t="s">
        <v>121</v>
      </c>
      <c r="B1560" t="str">
        <f t="shared" ref="B1560:Q1560" si="242">"Off"</f>
        <v>Off</v>
      </c>
      <c r="C1560" t="str">
        <f t="shared" si="242"/>
        <v>Off</v>
      </c>
      <c r="D1560" t="str">
        <f t="shared" si="242"/>
        <v>Off</v>
      </c>
      <c r="E1560" t="str">
        <f t="shared" si="242"/>
        <v>Off</v>
      </c>
      <c r="F1560" t="str">
        <f t="shared" si="242"/>
        <v>Off</v>
      </c>
      <c r="G1560" t="str">
        <f t="shared" si="242"/>
        <v>Off</v>
      </c>
      <c r="H1560" t="str">
        <f t="shared" si="242"/>
        <v>Off</v>
      </c>
      <c r="I1560" t="str">
        <f t="shared" si="242"/>
        <v>Off</v>
      </c>
      <c r="J1560" t="str">
        <f t="shared" si="242"/>
        <v>Off</v>
      </c>
      <c r="K1560" t="str">
        <f t="shared" si="242"/>
        <v>Off</v>
      </c>
      <c r="L1560" t="str">
        <f t="shared" si="242"/>
        <v>Off</v>
      </c>
      <c r="M1560" t="str">
        <f t="shared" si="242"/>
        <v>Off</v>
      </c>
      <c r="N1560" t="str">
        <f t="shared" si="242"/>
        <v>Off</v>
      </c>
      <c r="O1560" t="str">
        <f t="shared" si="242"/>
        <v>Off</v>
      </c>
      <c r="P1560" t="str">
        <f t="shared" si="242"/>
        <v>Off</v>
      </c>
      <c r="Q1560" t="str">
        <f t="shared" si="242"/>
        <v>Off</v>
      </c>
    </row>
    <row r="1561" spans="1:17">
      <c r="A1561" t="s">
        <v>122</v>
      </c>
      <c r="B1561">
        <v>1</v>
      </c>
      <c r="C1561">
        <v>1</v>
      </c>
      <c r="D1561">
        <v>1</v>
      </c>
      <c r="E1561">
        <v>1</v>
      </c>
      <c r="F1561">
        <v>2</v>
      </c>
      <c r="G1561">
        <v>2</v>
      </c>
      <c r="H1561">
        <v>2</v>
      </c>
      <c r="I1561">
        <v>2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</row>
    <row r="1562" spans="1:17">
      <c r="A1562" t="s">
        <v>2467</v>
      </c>
      <c r="B1562" t="str">
        <f t="shared" ref="B1562:Q1562" si="243">"Off"</f>
        <v>Off</v>
      </c>
      <c r="C1562" t="str">
        <f t="shared" si="243"/>
        <v>Off</v>
      </c>
      <c r="D1562" t="str">
        <f t="shared" si="243"/>
        <v>Off</v>
      </c>
      <c r="E1562" t="str">
        <f t="shared" si="243"/>
        <v>Off</v>
      </c>
      <c r="F1562" t="str">
        <f t="shared" si="243"/>
        <v>Off</v>
      </c>
      <c r="G1562" t="str">
        <f t="shared" si="243"/>
        <v>Off</v>
      </c>
      <c r="H1562" t="str">
        <f t="shared" si="243"/>
        <v>Off</v>
      </c>
      <c r="I1562" t="str">
        <f t="shared" si="243"/>
        <v>Off</v>
      </c>
      <c r="J1562" t="str">
        <f t="shared" si="243"/>
        <v>Off</v>
      </c>
      <c r="K1562" t="str">
        <f t="shared" si="243"/>
        <v>Off</v>
      </c>
      <c r="L1562" t="str">
        <f t="shared" si="243"/>
        <v>Off</v>
      </c>
      <c r="M1562" t="str">
        <f t="shared" si="243"/>
        <v>Off</v>
      </c>
      <c r="N1562" t="str">
        <f t="shared" si="243"/>
        <v>Off</v>
      </c>
      <c r="O1562" t="str">
        <f t="shared" si="243"/>
        <v>Off</v>
      </c>
      <c r="P1562" t="str">
        <f t="shared" si="243"/>
        <v>Off</v>
      </c>
      <c r="Q1562" t="str">
        <f t="shared" si="243"/>
        <v>Off</v>
      </c>
    </row>
    <row r="1563" spans="1:17">
      <c r="A1563" t="s">
        <v>123</v>
      </c>
      <c r="B1563" t="str">
        <f>"Off"</f>
        <v>Off</v>
      </c>
      <c r="C1563" t="str">
        <f>"Off"</f>
        <v>Off</v>
      </c>
      <c r="D1563" t="str">
        <f>"Off"</f>
        <v>Off</v>
      </c>
      <c r="E1563" t="str">
        <f>"On"</f>
        <v>On</v>
      </c>
      <c r="F1563" t="str">
        <f>"Off"</f>
        <v>Off</v>
      </c>
      <c r="G1563" t="str">
        <f>"Off"</f>
        <v>Off</v>
      </c>
      <c r="H1563" t="str">
        <f>"Off"</f>
        <v>Off</v>
      </c>
      <c r="I1563" t="str">
        <f>"On"</f>
        <v>On</v>
      </c>
      <c r="J1563" t="str">
        <f t="shared" ref="J1563:Q1563" si="244">"Off"</f>
        <v>Off</v>
      </c>
      <c r="K1563" t="str">
        <f t="shared" si="244"/>
        <v>Off</v>
      </c>
      <c r="L1563" t="str">
        <f t="shared" si="244"/>
        <v>Off</v>
      </c>
      <c r="M1563" t="str">
        <f t="shared" si="244"/>
        <v>Off</v>
      </c>
      <c r="N1563" t="str">
        <f t="shared" si="244"/>
        <v>Off</v>
      </c>
      <c r="O1563" t="str">
        <f t="shared" si="244"/>
        <v>Off</v>
      </c>
      <c r="P1563" t="str">
        <f t="shared" si="244"/>
        <v>Off</v>
      </c>
      <c r="Q1563" t="str">
        <f t="shared" si="244"/>
        <v>Off</v>
      </c>
    </row>
    <row r="1564" spans="1:17">
      <c r="A1564" t="s">
        <v>2495</v>
      </c>
      <c r="B1564" t="str">
        <f>"RED"</f>
        <v>RED</v>
      </c>
      <c r="C1564" t="str">
        <f>"RED"</f>
        <v>RED</v>
      </c>
      <c r="D1564" t="str">
        <f>"RED"</f>
        <v>RED</v>
      </c>
      <c r="E1564" t="str">
        <f>"GREEN"</f>
        <v>GREEN</v>
      </c>
      <c r="F1564" t="str">
        <f>"RED"</f>
        <v>RED</v>
      </c>
      <c r="G1564" t="str">
        <f>"RED"</f>
        <v>RED</v>
      </c>
      <c r="H1564" t="str">
        <f>"RED"</f>
        <v>RED</v>
      </c>
      <c r="I1564" t="str">
        <f>"GREEN"</f>
        <v>GREEN</v>
      </c>
      <c r="J1564" t="str">
        <f t="shared" ref="J1564:Q1564" si="245">"RED"</f>
        <v>RED</v>
      </c>
      <c r="K1564" t="str">
        <f t="shared" si="245"/>
        <v>RED</v>
      </c>
      <c r="L1564" t="str">
        <f t="shared" si="245"/>
        <v>RED</v>
      </c>
      <c r="M1564" t="str">
        <f t="shared" si="245"/>
        <v>RED</v>
      </c>
      <c r="N1564" t="str">
        <f t="shared" si="245"/>
        <v>RED</v>
      </c>
      <c r="O1564" t="str">
        <f t="shared" si="245"/>
        <v>RED</v>
      </c>
      <c r="P1564" t="str">
        <f t="shared" si="245"/>
        <v>RED</v>
      </c>
      <c r="Q1564" t="str">
        <f t="shared" si="245"/>
        <v>RED</v>
      </c>
    </row>
    <row r="1565" spans="1:17">
      <c r="A1565" t="s">
        <v>2496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</row>
    <row r="1566" spans="1:17">
      <c r="A1566" t="s">
        <v>124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</row>
    <row r="1567" spans="1:17">
      <c r="A1567" t="s">
        <v>42</v>
      </c>
      <c r="B1567">
        <v>0</v>
      </c>
      <c r="C1567">
        <v>5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</row>
    <row r="1568" spans="1:17">
      <c r="A1568" t="s">
        <v>2479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3</v>
      </c>
      <c r="P1568">
        <v>3</v>
      </c>
      <c r="Q1568">
        <v>3</v>
      </c>
    </row>
    <row r="1570" spans="1:17">
      <c r="B1570" t="s">
        <v>2497</v>
      </c>
      <c r="C1570">
        <v>5</v>
      </c>
      <c r="D1570">
        <v>16</v>
      </c>
      <c r="E1570">
        <v>1</v>
      </c>
    </row>
    <row r="1571" spans="1:17">
      <c r="B1571" t="s">
        <v>2498</v>
      </c>
      <c r="C1571" t="s">
        <v>2499</v>
      </c>
      <c r="D1571" t="s">
        <v>2500</v>
      </c>
      <c r="E1571" t="s">
        <v>2501</v>
      </c>
      <c r="F1571" t="s">
        <v>2502</v>
      </c>
      <c r="G1571" t="s">
        <v>2503</v>
      </c>
      <c r="H1571" t="s">
        <v>2504</v>
      </c>
      <c r="I1571" t="s">
        <v>2505</v>
      </c>
      <c r="J1571" t="s">
        <v>2506</v>
      </c>
      <c r="K1571" t="s">
        <v>2507</v>
      </c>
      <c r="L1571" t="s">
        <v>2508</v>
      </c>
      <c r="M1571" t="s">
        <v>2509</v>
      </c>
      <c r="N1571" t="s">
        <v>2510</v>
      </c>
      <c r="O1571" t="s">
        <v>2511</v>
      </c>
      <c r="P1571" t="s">
        <v>2512</v>
      </c>
      <c r="Q1571" t="s">
        <v>2513</v>
      </c>
    </row>
    <row r="1572" spans="1:17">
      <c r="A1572" t="s">
        <v>2514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</row>
    <row r="1573" spans="1:17">
      <c r="A1573" t="s">
        <v>2515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</row>
    <row r="1574" spans="1:17">
      <c r="A1574" t="s">
        <v>2516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</row>
    <row r="1575" spans="1:17">
      <c r="A1575" t="s">
        <v>2517</v>
      </c>
      <c r="B1575" t="str">
        <f t="shared" ref="B1575:Q1575" si="246">"OFF"</f>
        <v>OFF</v>
      </c>
      <c r="C1575" t="str">
        <f t="shared" si="246"/>
        <v>OFF</v>
      </c>
      <c r="D1575" t="str">
        <f t="shared" si="246"/>
        <v>OFF</v>
      </c>
      <c r="E1575" t="str">
        <f t="shared" si="246"/>
        <v>OFF</v>
      </c>
      <c r="F1575" t="str">
        <f t="shared" si="246"/>
        <v>OFF</v>
      </c>
      <c r="G1575" t="str">
        <f t="shared" si="246"/>
        <v>OFF</v>
      </c>
      <c r="H1575" t="str">
        <f t="shared" si="246"/>
        <v>OFF</v>
      </c>
      <c r="I1575" t="str">
        <f t="shared" si="246"/>
        <v>OFF</v>
      </c>
      <c r="J1575" t="str">
        <f t="shared" si="246"/>
        <v>OFF</v>
      </c>
      <c r="K1575" t="str">
        <f t="shared" si="246"/>
        <v>OFF</v>
      </c>
      <c r="L1575" t="str">
        <f t="shared" si="246"/>
        <v>OFF</v>
      </c>
      <c r="M1575" t="str">
        <f t="shared" si="246"/>
        <v>OFF</v>
      </c>
      <c r="N1575" t="str">
        <f t="shared" si="246"/>
        <v>OFF</v>
      </c>
      <c r="O1575" t="str">
        <f t="shared" si="246"/>
        <v>OFF</v>
      </c>
      <c r="P1575" t="str">
        <f t="shared" si="246"/>
        <v>OFF</v>
      </c>
      <c r="Q1575" t="str">
        <f t="shared" si="246"/>
        <v>OFF</v>
      </c>
    </row>
    <row r="1576" spans="1:17">
      <c r="A1576" t="s">
        <v>752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</row>
    <row r="1578" spans="1:17">
      <c r="B1578" t="s">
        <v>2518</v>
      </c>
      <c r="C1578">
        <v>6</v>
      </c>
      <c r="D1578">
        <v>8</v>
      </c>
      <c r="E1578">
        <v>1</v>
      </c>
    </row>
    <row r="1579" spans="1:17">
      <c r="B1579" t="s">
        <v>1511</v>
      </c>
      <c r="C1579" t="s">
        <v>1512</v>
      </c>
      <c r="D1579" t="s">
        <v>1513</v>
      </c>
      <c r="E1579" t="s">
        <v>1514</v>
      </c>
      <c r="F1579" t="s">
        <v>1515</v>
      </c>
      <c r="G1579" t="s">
        <v>1516</v>
      </c>
      <c r="H1579" t="s">
        <v>1517</v>
      </c>
      <c r="I1579" t="s">
        <v>1518</v>
      </c>
    </row>
    <row r="1580" spans="1:17">
      <c r="A1580" t="s">
        <v>2462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</row>
    <row r="1581" spans="1:17">
      <c r="A1581" t="s">
        <v>2514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</row>
    <row r="1582" spans="1:17">
      <c r="A1582" t="s">
        <v>2515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</row>
    <row r="1583" spans="1:17">
      <c r="A1583" t="s">
        <v>2516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</row>
    <row r="1584" spans="1:17">
      <c r="A1584" t="s">
        <v>2517</v>
      </c>
      <c r="B1584" t="str">
        <f t="shared" ref="B1584:I1584" si="247">"OFF"</f>
        <v>OFF</v>
      </c>
      <c r="C1584" t="str">
        <f t="shared" si="247"/>
        <v>OFF</v>
      </c>
      <c r="D1584" t="str">
        <f t="shared" si="247"/>
        <v>OFF</v>
      </c>
      <c r="E1584" t="str">
        <f t="shared" si="247"/>
        <v>OFF</v>
      </c>
      <c r="F1584" t="str">
        <f t="shared" si="247"/>
        <v>OFF</v>
      </c>
      <c r="G1584" t="str">
        <f t="shared" si="247"/>
        <v>OFF</v>
      </c>
      <c r="H1584" t="str">
        <f t="shared" si="247"/>
        <v>OFF</v>
      </c>
      <c r="I1584" t="str">
        <f t="shared" si="247"/>
        <v>OFF</v>
      </c>
    </row>
    <row r="1585" spans="1:9">
      <c r="A1585" t="s">
        <v>752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</row>
    <row r="1587" spans="1:9">
      <c r="B1587" t="s">
        <v>2519</v>
      </c>
      <c r="C1587">
        <v>6</v>
      </c>
      <c r="D1587">
        <v>8</v>
      </c>
      <c r="E1587">
        <v>1</v>
      </c>
    </row>
    <row r="1588" spans="1:9">
      <c r="B1588" t="s">
        <v>1511</v>
      </c>
      <c r="C1588" t="s">
        <v>1512</v>
      </c>
      <c r="D1588" t="s">
        <v>1513</v>
      </c>
      <c r="E1588" t="s">
        <v>1514</v>
      </c>
      <c r="F1588" t="s">
        <v>1515</v>
      </c>
      <c r="G1588" t="s">
        <v>1516</v>
      </c>
      <c r="H1588" t="s">
        <v>1517</v>
      </c>
      <c r="I1588" t="s">
        <v>1518</v>
      </c>
    </row>
    <row r="1589" spans="1:9">
      <c r="A1589" t="s">
        <v>2462</v>
      </c>
      <c r="B1589">
        <v>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</row>
    <row r="1590" spans="1:9">
      <c r="A1590" t="s">
        <v>2514</v>
      </c>
      <c r="B1590">
        <v>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</row>
    <row r="1591" spans="1:9">
      <c r="A1591" t="s">
        <v>2515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</row>
    <row r="1592" spans="1:9">
      <c r="A1592" t="s">
        <v>2516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</row>
    <row r="1593" spans="1:9">
      <c r="A1593" t="s">
        <v>2517</v>
      </c>
      <c r="B1593" t="str">
        <f t="shared" ref="B1593:I1593" si="248">"OFF"</f>
        <v>OFF</v>
      </c>
      <c r="C1593" t="str">
        <f t="shared" si="248"/>
        <v>OFF</v>
      </c>
      <c r="D1593" t="str">
        <f t="shared" si="248"/>
        <v>OFF</v>
      </c>
      <c r="E1593" t="str">
        <f t="shared" si="248"/>
        <v>OFF</v>
      </c>
      <c r="F1593" t="str">
        <f t="shared" si="248"/>
        <v>OFF</v>
      </c>
      <c r="G1593" t="str">
        <f t="shared" si="248"/>
        <v>OFF</v>
      </c>
      <c r="H1593" t="str">
        <f t="shared" si="248"/>
        <v>OFF</v>
      </c>
      <c r="I1593" t="str">
        <f t="shared" si="248"/>
        <v>OFF</v>
      </c>
    </row>
    <row r="1594" spans="1:9">
      <c r="A1594" t="s">
        <v>752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</row>
    <row r="1596" spans="1:9">
      <c r="B1596" t="s">
        <v>2520</v>
      </c>
      <c r="C1596">
        <v>6</v>
      </c>
      <c r="D1596">
        <v>8</v>
      </c>
      <c r="E1596">
        <v>1</v>
      </c>
    </row>
    <row r="1597" spans="1:9">
      <c r="B1597" t="s">
        <v>1511</v>
      </c>
      <c r="C1597" t="s">
        <v>1512</v>
      </c>
      <c r="D1597" t="s">
        <v>1513</v>
      </c>
      <c r="E1597" t="s">
        <v>1514</v>
      </c>
      <c r="F1597" t="s">
        <v>1515</v>
      </c>
      <c r="G1597" t="s">
        <v>1516</v>
      </c>
      <c r="H1597" t="s">
        <v>1517</v>
      </c>
      <c r="I1597" t="s">
        <v>1518</v>
      </c>
    </row>
    <row r="1598" spans="1:9">
      <c r="A1598" t="s">
        <v>2462</v>
      </c>
      <c r="B1598">
        <v>0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</row>
    <row r="1599" spans="1:9">
      <c r="A1599" t="s">
        <v>2514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</row>
    <row r="1600" spans="1:9">
      <c r="A1600" t="s">
        <v>2515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</row>
    <row r="1601" spans="1:17">
      <c r="A1601" t="s">
        <v>2516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</row>
    <row r="1602" spans="1:17">
      <c r="A1602" t="s">
        <v>2517</v>
      </c>
      <c r="B1602" t="str">
        <f t="shared" ref="B1602:I1602" si="249">"OFF"</f>
        <v>OFF</v>
      </c>
      <c r="C1602" t="str">
        <f t="shared" si="249"/>
        <v>OFF</v>
      </c>
      <c r="D1602" t="str">
        <f t="shared" si="249"/>
        <v>OFF</v>
      </c>
      <c r="E1602" t="str">
        <f t="shared" si="249"/>
        <v>OFF</v>
      </c>
      <c r="F1602" t="str">
        <f t="shared" si="249"/>
        <v>OFF</v>
      </c>
      <c r="G1602" t="str">
        <f t="shared" si="249"/>
        <v>OFF</v>
      </c>
      <c r="H1602" t="str">
        <f t="shared" si="249"/>
        <v>OFF</v>
      </c>
      <c r="I1602" t="str">
        <f t="shared" si="249"/>
        <v>OFF</v>
      </c>
    </row>
    <row r="1603" spans="1:17">
      <c r="A1603" t="s">
        <v>752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</row>
    <row r="1605" spans="1:17">
      <c r="B1605" t="s">
        <v>2521</v>
      </c>
      <c r="C1605">
        <v>41</v>
      </c>
      <c r="D1605">
        <v>16</v>
      </c>
      <c r="E1605">
        <v>1</v>
      </c>
    </row>
    <row r="1606" spans="1:17">
      <c r="B1606" t="s">
        <v>2522</v>
      </c>
      <c r="C1606" t="s">
        <v>2523</v>
      </c>
      <c r="D1606" t="s">
        <v>2524</v>
      </c>
      <c r="E1606" t="s">
        <v>2525</v>
      </c>
      <c r="F1606" t="s">
        <v>2526</v>
      </c>
      <c r="G1606" t="s">
        <v>2527</v>
      </c>
      <c r="H1606" t="s">
        <v>2528</v>
      </c>
      <c r="I1606" t="s">
        <v>2529</v>
      </c>
      <c r="J1606" t="s">
        <v>2530</v>
      </c>
      <c r="K1606" t="s">
        <v>2531</v>
      </c>
      <c r="L1606" t="s">
        <v>2532</v>
      </c>
      <c r="M1606" t="s">
        <v>2533</v>
      </c>
      <c r="N1606" t="s">
        <v>2534</v>
      </c>
      <c r="O1606" t="s">
        <v>2535</v>
      </c>
      <c r="P1606" t="s">
        <v>2536</v>
      </c>
      <c r="Q1606" t="s">
        <v>2537</v>
      </c>
    </row>
    <row r="1607" spans="1:17">
      <c r="A1607" t="s">
        <v>2538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</row>
    <row r="1608" spans="1:17">
      <c r="A1608" t="s">
        <v>2539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</row>
    <row r="1609" spans="1:17">
      <c r="A1609" t="s">
        <v>2540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</row>
    <row r="1610" spans="1:17">
      <c r="A1610" t="s">
        <v>2541</v>
      </c>
      <c r="B1610">
        <v>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</row>
    <row r="1611" spans="1:17">
      <c r="A1611" t="s">
        <v>2542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</row>
    <row r="1612" spans="1:17">
      <c r="A1612" t="s">
        <v>2543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</row>
    <row r="1613" spans="1:17">
      <c r="A1613" t="s">
        <v>1524</v>
      </c>
      <c r="B1613" t="str">
        <f t="shared" ref="B1613:Q1622" si="250">"Off"</f>
        <v>Off</v>
      </c>
      <c r="C1613" t="str">
        <f t="shared" si="250"/>
        <v>Off</v>
      </c>
      <c r="D1613" t="str">
        <f t="shared" si="250"/>
        <v>Off</v>
      </c>
      <c r="E1613" t="str">
        <f t="shared" si="250"/>
        <v>Off</v>
      </c>
      <c r="F1613" t="str">
        <f t="shared" si="250"/>
        <v>Off</v>
      </c>
      <c r="G1613" t="str">
        <f t="shared" si="250"/>
        <v>Off</v>
      </c>
      <c r="H1613" t="str">
        <f t="shared" si="250"/>
        <v>Off</v>
      </c>
      <c r="I1613" t="str">
        <f t="shared" si="250"/>
        <v>Off</v>
      </c>
      <c r="J1613" t="str">
        <f t="shared" si="250"/>
        <v>Off</v>
      </c>
      <c r="K1613" t="str">
        <f t="shared" si="250"/>
        <v>Off</v>
      </c>
      <c r="L1613" t="str">
        <f t="shared" si="250"/>
        <v>Off</v>
      </c>
      <c r="M1613" t="str">
        <f t="shared" si="250"/>
        <v>Off</v>
      </c>
      <c r="N1613" t="str">
        <f t="shared" si="250"/>
        <v>Off</v>
      </c>
      <c r="O1613" t="str">
        <f t="shared" si="250"/>
        <v>Off</v>
      </c>
      <c r="P1613" t="str">
        <f t="shared" si="250"/>
        <v>Off</v>
      </c>
      <c r="Q1613" t="str">
        <f t="shared" si="250"/>
        <v>Off</v>
      </c>
    </row>
    <row r="1614" spans="1:17">
      <c r="A1614" t="s">
        <v>1525</v>
      </c>
      <c r="B1614" t="str">
        <f t="shared" si="250"/>
        <v>Off</v>
      </c>
      <c r="C1614" t="str">
        <f t="shared" si="250"/>
        <v>Off</v>
      </c>
      <c r="D1614" t="str">
        <f t="shared" si="250"/>
        <v>Off</v>
      </c>
      <c r="E1614" t="str">
        <f t="shared" si="250"/>
        <v>Off</v>
      </c>
      <c r="F1614" t="str">
        <f t="shared" si="250"/>
        <v>Off</v>
      </c>
      <c r="G1614" t="str">
        <f t="shared" si="250"/>
        <v>Off</v>
      </c>
      <c r="H1614" t="str">
        <f t="shared" si="250"/>
        <v>Off</v>
      </c>
      <c r="I1614" t="str">
        <f t="shared" si="250"/>
        <v>Off</v>
      </c>
      <c r="J1614" t="str">
        <f t="shared" si="250"/>
        <v>Off</v>
      </c>
      <c r="K1614" t="str">
        <f t="shared" si="250"/>
        <v>Off</v>
      </c>
      <c r="L1614" t="str">
        <f t="shared" si="250"/>
        <v>Off</v>
      </c>
      <c r="M1614" t="str">
        <f t="shared" si="250"/>
        <v>Off</v>
      </c>
      <c r="N1614" t="str">
        <f t="shared" si="250"/>
        <v>Off</v>
      </c>
      <c r="O1614" t="str">
        <f t="shared" si="250"/>
        <v>Off</v>
      </c>
      <c r="P1614" t="str">
        <f t="shared" si="250"/>
        <v>Off</v>
      </c>
      <c r="Q1614" t="str">
        <f t="shared" si="250"/>
        <v>Off</v>
      </c>
    </row>
    <row r="1615" spans="1:17">
      <c r="A1615" t="s">
        <v>1526</v>
      </c>
      <c r="B1615" t="str">
        <f t="shared" si="250"/>
        <v>Off</v>
      </c>
      <c r="C1615" t="str">
        <f t="shared" si="250"/>
        <v>Off</v>
      </c>
      <c r="D1615" t="str">
        <f t="shared" si="250"/>
        <v>Off</v>
      </c>
      <c r="E1615" t="str">
        <f t="shared" si="250"/>
        <v>Off</v>
      </c>
      <c r="F1615" t="str">
        <f t="shared" si="250"/>
        <v>Off</v>
      </c>
      <c r="G1615" t="str">
        <f t="shared" si="250"/>
        <v>Off</v>
      </c>
      <c r="H1615" t="str">
        <f t="shared" si="250"/>
        <v>Off</v>
      </c>
      <c r="I1615" t="str">
        <f t="shared" si="250"/>
        <v>Off</v>
      </c>
      <c r="J1615" t="str">
        <f t="shared" si="250"/>
        <v>Off</v>
      </c>
      <c r="K1615" t="str">
        <f t="shared" si="250"/>
        <v>Off</v>
      </c>
      <c r="L1615" t="str">
        <f t="shared" si="250"/>
        <v>Off</v>
      </c>
      <c r="M1615" t="str">
        <f t="shared" si="250"/>
        <v>Off</v>
      </c>
      <c r="N1615" t="str">
        <f t="shared" si="250"/>
        <v>Off</v>
      </c>
      <c r="O1615" t="str">
        <f t="shared" si="250"/>
        <v>Off</v>
      </c>
      <c r="P1615" t="str">
        <f t="shared" si="250"/>
        <v>Off</v>
      </c>
      <c r="Q1615" t="str">
        <f t="shared" si="250"/>
        <v>Off</v>
      </c>
    </row>
    <row r="1616" spans="1:17">
      <c r="A1616" t="s">
        <v>1527</v>
      </c>
      <c r="B1616" t="str">
        <f t="shared" si="250"/>
        <v>Off</v>
      </c>
      <c r="C1616" t="str">
        <f t="shared" si="250"/>
        <v>Off</v>
      </c>
      <c r="D1616" t="str">
        <f t="shared" si="250"/>
        <v>Off</v>
      </c>
      <c r="E1616" t="str">
        <f t="shared" si="250"/>
        <v>Off</v>
      </c>
      <c r="F1616" t="str">
        <f t="shared" si="250"/>
        <v>Off</v>
      </c>
      <c r="G1616" t="str">
        <f t="shared" si="250"/>
        <v>Off</v>
      </c>
      <c r="H1616" t="str">
        <f t="shared" si="250"/>
        <v>Off</v>
      </c>
      <c r="I1616" t="str">
        <f t="shared" si="250"/>
        <v>Off</v>
      </c>
      <c r="J1616" t="str">
        <f t="shared" si="250"/>
        <v>Off</v>
      </c>
      <c r="K1616" t="str">
        <f t="shared" si="250"/>
        <v>Off</v>
      </c>
      <c r="L1616" t="str">
        <f t="shared" si="250"/>
        <v>Off</v>
      </c>
      <c r="M1616" t="str">
        <f t="shared" si="250"/>
        <v>Off</v>
      </c>
      <c r="N1616" t="str">
        <f t="shared" si="250"/>
        <v>Off</v>
      </c>
      <c r="O1616" t="str">
        <f t="shared" si="250"/>
        <v>Off</v>
      </c>
      <c r="P1616" t="str">
        <f t="shared" si="250"/>
        <v>Off</v>
      </c>
      <c r="Q1616" t="str">
        <f t="shared" si="250"/>
        <v>Off</v>
      </c>
    </row>
    <row r="1617" spans="1:17">
      <c r="A1617" t="s">
        <v>1528</v>
      </c>
      <c r="B1617" t="str">
        <f t="shared" si="250"/>
        <v>Off</v>
      </c>
      <c r="C1617" t="str">
        <f t="shared" si="250"/>
        <v>Off</v>
      </c>
      <c r="D1617" t="str">
        <f t="shared" si="250"/>
        <v>Off</v>
      </c>
      <c r="E1617" t="str">
        <f t="shared" si="250"/>
        <v>Off</v>
      </c>
      <c r="F1617" t="str">
        <f t="shared" si="250"/>
        <v>Off</v>
      </c>
      <c r="G1617" t="str">
        <f t="shared" si="250"/>
        <v>Off</v>
      </c>
      <c r="H1617" t="str">
        <f t="shared" si="250"/>
        <v>Off</v>
      </c>
      <c r="I1617" t="str">
        <f t="shared" si="250"/>
        <v>Off</v>
      </c>
      <c r="J1617" t="str">
        <f t="shared" si="250"/>
        <v>Off</v>
      </c>
      <c r="K1617" t="str">
        <f t="shared" si="250"/>
        <v>Off</v>
      </c>
      <c r="L1617" t="str">
        <f t="shared" si="250"/>
        <v>Off</v>
      </c>
      <c r="M1617" t="str">
        <f t="shared" si="250"/>
        <v>Off</v>
      </c>
      <c r="N1617" t="str">
        <f t="shared" si="250"/>
        <v>Off</v>
      </c>
      <c r="O1617" t="str">
        <f t="shared" si="250"/>
        <v>Off</v>
      </c>
      <c r="P1617" t="str">
        <f t="shared" si="250"/>
        <v>Off</v>
      </c>
      <c r="Q1617" t="str">
        <f t="shared" si="250"/>
        <v>Off</v>
      </c>
    </row>
    <row r="1618" spans="1:17">
      <c r="A1618" t="s">
        <v>1529</v>
      </c>
      <c r="B1618" t="str">
        <f t="shared" si="250"/>
        <v>Off</v>
      </c>
      <c r="C1618" t="str">
        <f t="shared" si="250"/>
        <v>Off</v>
      </c>
      <c r="D1618" t="str">
        <f t="shared" si="250"/>
        <v>Off</v>
      </c>
      <c r="E1618" t="str">
        <f t="shared" si="250"/>
        <v>Off</v>
      </c>
      <c r="F1618" t="str">
        <f t="shared" si="250"/>
        <v>Off</v>
      </c>
      <c r="G1618" t="str">
        <f t="shared" si="250"/>
        <v>Off</v>
      </c>
      <c r="H1618" t="str">
        <f t="shared" si="250"/>
        <v>Off</v>
      </c>
      <c r="I1618" t="str">
        <f t="shared" si="250"/>
        <v>Off</v>
      </c>
      <c r="J1618" t="str">
        <f t="shared" si="250"/>
        <v>Off</v>
      </c>
      <c r="K1618" t="str">
        <f t="shared" si="250"/>
        <v>Off</v>
      </c>
      <c r="L1618" t="str">
        <f t="shared" si="250"/>
        <v>Off</v>
      </c>
      <c r="M1618" t="str">
        <f t="shared" si="250"/>
        <v>Off</v>
      </c>
      <c r="N1618" t="str">
        <f t="shared" si="250"/>
        <v>Off</v>
      </c>
      <c r="O1618" t="str">
        <f t="shared" si="250"/>
        <v>Off</v>
      </c>
      <c r="P1618" t="str">
        <f t="shared" si="250"/>
        <v>Off</v>
      </c>
      <c r="Q1618" t="str">
        <f t="shared" si="250"/>
        <v>Off</v>
      </c>
    </row>
    <row r="1619" spans="1:17">
      <c r="A1619" t="s">
        <v>1530</v>
      </c>
      <c r="B1619" t="str">
        <f t="shared" si="250"/>
        <v>Off</v>
      </c>
      <c r="C1619" t="str">
        <f t="shared" si="250"/>
        <v>Off</v>
      </c>
      <c r="D1619" t="str">
        <f t="shared" si="250"/>
        <v>Off</v>
      </c>
      <c r="E1619" t="str">
        <f t="shared" si="250"/>
        <v>Off</v>
      </c>
      <c r="F1619" t="str">
        <f t="shared" si="250"/>
        <v>Off</v>
      </c>
      <c r="G1619" t="str">
        <f t="shared" si="250"/>
        <v>Off</v>
      </c>
      <c r="H1619" t="str">
        <f t="shared" si="250"/>
        <v>Off</v>
      </c>
      <c r="I1619" t="str">
        <f t="shared" si="250"/>
        <v>Off</v>
      </c>
      <c r="J1619" t="str">
        <f t="shared" si="250"/>
        <v>Off</v>
      </c>
      <c r="K1619" t="str">
        <f t="shared" si="250"/>
        <v>Off</v>
      </c>
      <c r="L1619" t="str">
        <f t="shared" si="250"/>
        <v>Off</v>
      </c>
      <c r="M1619" t="str">
        <f t="shared" si="250"/>
        <v>Off</v>
      </c>
      <c r="N1619" t="str">
        <f t="shared" si="250"/>
        <v>Off</v>
      </c>
      <c r="O1619" t="str">
        <f t="shared" si="250"/>
        <v>Off</v>
      </c>
      <c r="P1619" t="str">
        <f t="shared" si="250"/>
        <v>Off</v>
      </c>
      <c r="Q1619" t="str">
        <f t="shared" si="250"/>
        <v>Off</v>
      </c>
    </row>
    <row r="1620" spans="1:17">
      <c r="A1620" t="s">
        <v>1531</v>
      </c>
      <c r="B1620" t="str">
        <f t="shared" si="250"/>
        <v>Off</v>
      </c>
      <c r="C1620" t="str">
        <f t="shared" si="250"/>
        <v>Off</v>
      </c>
      <c r="D1620" t="str">
        <f t="shared" si="250"/>
        <v>Off</v>
      </c>
      <c r="E1620" t="str">
        <f t="shared" si="250"/>
        <v>Off</v>
      </c>
      <c r="F1620" t="str">
        <f t="shared" si="250"/>
        <v>Off</v>
      </c>
      <c r="G1620" t="str">
        <f t="shared" si="250"/>
        <v>Off</v>
      </c>
      <c r="H1620" t="str">
        <f t="shared" si="250"/>
        <v>Off</v>
      </c>
      <c r="I1620" t="str">
        <f t="shared" si="250"/>
        <v>Off</v>
      </c>
      <c r="J1620" t="str">
        <f t="shared" si="250"/>
        <v>Off</v>
      </c>
      <c r="K1620" t="str">
        <f t="shared" si="250"/>
        <v>Off</v>
      </c>
      <c r="L1620" t="str">
        <f t="shared" si="250"/>
        <v>Off</v>
      </c>
      <c r="M1620" t="str">
        <f t="shared" si="250"/>
        <v>Off</v>
      </c>
      <c r="N1620" t="str">
        <f t="shared" si="250"/>
        <v>Off</v>
      </c>
      <c r="O1620" t="str">
        <f t="shared" si="250"/>
        <v>Off</v>
      </c>
      <c r="P1620" t="str">
        <f t="shared" si="250"/>
        <v>Off</v>
      </c>
      <c r="Q1620" t="str">
        <f t="shared" si="250"/>
        <v>Off</v>
      </c>
    </row>
    <row r="1621" spans="1:17">
      <c r="A1621" t="s">
        <v>1532</v>
      </c>
      <c r="B1621" t="str">
        <f t="shared" si="250"/>
        <v>Off</v>
      </c>
      <c r="C1621" t="str">
        <f t="shared" si="250"/>
        <v>Off</v>
      </c>
      <c r="D1621" t="str">
        <f t="shared" si="250"/>
        <v>Off</v>
      </c>
      <c r="E1621" t="str">
        <f t="shared" si="250"/>
        <v>Off</v>
      </c>
      <c r="F1621" t="str">
        <f t="shared" si="250"/>
        <v>Off</v>
      </c>
      <c r="G1621" t="str">
        <f t="shared" si="250"/>
        <v>Off</v>
      </c>
      <c r="H1621" t="str">
        <f t="shared" si="250"/>
        <v>Off</v>
      </c>
      <c r="I1621" t="str">
        <f t="shared" si="250"/>
        <v>Off</v>
      </c>
      <c r="J1621" t="str">
        <f t="shared" si="250"/>
        <v>Off</v>
      </c>
      <c r="K1621" t="str">
        <f t="shared" si="250"/>
        <v>Off</v>
      </c>
      <c r="L1621" t="str">
        <f t="shared" si="250"/>
        <v>Off</v>
      </c>
      <c r="M1621" t="str">
        <f t="shared" si="250"/>
        <v>Off</v>
      </c>
      <c r="N1621" t="str">
        <f t="shared" si="250"/>
        <v>Off</v>
      </c>
      <c r="O1621" t="str">
        <f t="shared" si="250"/>
        <v>Off</v>
      </c>
      <c r="P1621" t="str">
        <f t="shared" si="250"/>
        <v>Off</v>
      </c>
      <c r="Q1621" t="str">
        <f t="shared" si="250"/>
        <v>Off</v>
      </c>
    </row>
    <row r="1622" spans="1:17">
      <c r="A1622" t="s">
        <v>1533</v>
      </c>
      <c r="B1622" t="str">
        <f t="shared" si="250"/>
        <v>Off</v>
      </c>
      <c r="C1622" t="str">
        <f t="shared" si="250"/>
        <v>Off</v>
      </c>
      <c r="D1622" t="str">
        <f t="shared" si="250"/>
        <v>Off</v>
      </c>
      <c r="E1622" t="str">
        <f t="shared" si="250"/>
        <v>Off</v>
      </c>
      <c r="F1622" t="str">
        <f t="shared" si="250"/>
        <v>Off</v>
      </c>
      <c r="G1622" t="str">
        <f t="shared" si="250"/>
        <v>Off</v>
      </c>
      <c r="H1622" t="str">
        <f t="shared" si="250"/>
        <v>Off</v>
      </c>
      <c r="I1622" t="str">
        <f t="shared" si="250"/>
        <v>Off</v>
      </c>
      <c r="J1622" t="str">
        <f t="shared" si="250"/>
        <v>Off</v>
      </c>
      <c r="K1622" t="str">
        <f t="shared" si="250"/>
        <v>Off</v>
      </c>
      <c r="L1622" t="str">
        <f t="shared" si="250"/>
        <v>Off</v>
      </c>
      <c r="M1622" t="str">
        <f t="shared" si="250"/>
        <v>Off</v>
      </c>
      <c r="N1622" t="str">
        <f t="shared" si="250"/>
        <v>Off</v>
      </c>
      <c r="O1622" t="str">
        <f t="shared" si="250"/>
        <v>Off</v>
      </c>
      <c r="P1622" t="str">
        <f t="shared" si="250"/>
        <v>Off</v>
      </c>
      <c r="Q1622" t="str">
        <f t="shared" si="250"/>
        <v>Off</v>
      </c>
    </row>
    <row r="1623" spans="1:17">
      <c r="A1623" t="s">
        <v>1534</v>
      </c>
      <c r="B1623" t="str">
        <f t="shared" ref="B1623:Q1630" si="251">"Off"</f>
        <v>Off</v>
      </c>
      <c r="C1623" t="str">
        <f t="shared" si="251"/>
        <v>Off</v>
      </c>
      <c r="D1623" t="str">
        <f t="shared" si="251"/>
        <v>Off</v>
      </c>
      <c r="E1623" t="str">
        <f t="shared" si="251"/>
        <v>Off</v>
      </c>
      <c r="F1623" t="str">
        <f t="shared" si="251"/>
        <v>Off</v>
      </c>
      <c r="G1623" t="str">
        <f t="shared" si="251"/>
        <v>Off</v>
      </c>
      <c r="H1623" t="str">
        <f t="shared" si="251"/>
        <v>Off</v>
      </c>
      <c r="I1623" t="str">
        <f t="shared" si="251"/>
        <v>Off</v>
      </c>
      <c r="J1623" t="str">
        <f t="shared" si="251"/>
        <v>Off</v>
      </c>
      <c r="K1623" t="str">
        <f t="shared" si="251"/>
        <v>Off</v>
      </c>
      <c r="L1623" t="str">
        <f t="shared" si="251"/>
        <v>Off</v>
      </c>
      <c r="M1623" t="str">
        <f t="shared" si="251"/>
        <v>Off</v>
      </c>
      <c r="N1623" t="str">
        <f t="shared" si="251"/>
        <v>Off</v>
      </c>
      <c r="O1623" t="str">
        <f t="shared" si="251"/>
        <v>Off</v>
      </c>
      <c r="P1623" t="str">
        <f t="shared" si="251"/>
        <v>Off</v>
      </c>
      <c r="Q1623" t="str">
        <f t="shared" si="251"/>
        <v>Off</v>
      </c>
    </row>
    <row r="1624" spans="1:17">
      <c r="A1624" t="s">
        <v>1535</v>
      </c>
      <c r="B1624" t="str">
        <f t="shared" si="251"/>
        <v>Off</v>
      </c>
      <c r="C1624" t="str">
        <f t="shared" si="251"/>
        <v>Off</v>
      </c>
      <c r="D1624" t="str">
        <f t="shared" si="251"/>
        <v>Off</v>
      </c>
      <c r="E1624" t="str">
        <f t="shared" si="251"/>
        <v>Off</v>
      </c>
      <c r="F1624" t="str">
        <f t="shared" si="251"/>
        <v>Off</v>
      </c>
      <c r="G1624" t="str">
        <f t="shared" si="251"/>
        <v>Off</v>
      </c>
      <c r="H1624" t="str">
        <f t="shared" si="251"/>
        <v>Off</v>
      </c>
      <c r="I1624" t="str">
        <f t="shared" si="251"/>
        <v>Off</v>
      </c>
      <c r="J1624" t="str">
        <f t="shared" si="251"/>
        <v>Off</v>
      </c>
      <c r="K1624" t="str">
        <f t="shared" si="251"/>
        <v>Off</v>
      </c>
      <c r="L1624" t="str">
        <f t="shared" si="251"/>
        <v>Off</v>
      </c>
      <c r="M1624" t="str">
        <f t="shared" si="251"/>
        <v>Off</v>
      </c>
      <c r="N1624" t="str">
        <f t="shared" si="251"/>
        <v>Off</v>
      </c>
      <c r="O1624" t="str">
        <f t="shared" si="251"/>
        <v>Off</v>
      </c>
      <c r="P1624" t="str">
        <f t="shared" si="251"/>
        <v>Off</v>
      </c>
      <c r="Q1624" t="str">
        <f t="shared" si="251"/>
        <v>Off</v>
      </c>
    </row>
    <row r="1625" spans="1:17">
      <c r="A1625" t="s">
        <v>1536</v>
      </c>
      <c r="B1625" t="str">
        <f t="shared" si="251"/>
        <v>Off</v>
      </c>
      <c r="C1625" t="str">
        <f t="shared" si="251"/>
        <v>Off</v>
      </c>
      <c r="D1625" t="str">
        <f t="shared" si="251"/>
        <v>Off</v>
      </c>
      <c r="E1625" t="str">
        <f t="shared" si="251"/>
        <v>Off</v>
      </c>
      <c r="F1625" t="str">
        <f t="shared" si="251"/>
        <v>Off</v>
      </c>
      <c r="G1625" t="str">
        <f t="shared" si="251"/>
        <v>Off</v>
      </c>
      <c r="H1625" t="str">
        <f t="shared" si="251"/>
        <v>Off</v>
      </c>
      <c r="I1625" t="str">
        <f t="shared" si="251"/>
        <v>Off</v>
      </c>
      <c r="J1625" t="str">
        <f t="shared" si="251"/>
        <v>Off</v>
      </c>
      <c r="K1625" t="str">
        <f t="shared" si="251"/>
        <v>Off</v>
      </c>
      <c r="L1625" t="str">
        <f t="shared" si="251"/>
        <v>Off</v>
      </c>
      <c r="M1625" t="str">
        <f t="shared" si="251"/>
        <v>Off</v>
      </c>
      <c r="N1625" t="str">
        <f t="shared" si="251"/>
        <v>Off</v>
      </c>
      <c r="O1625" t="str">
        <f t="shared" si="251"/>
        <v>Off</v>
      </c>
      <c r="P1625" t="str">
        <f t="shared" si="251"/>
        <v>Off</v>
      </c>
      <c r="Q1625" t="str">
        <f t="shared" si="251"/>
        <v>Off</v>
      </c>
    </row>
    <row r="1626" spans="1:17">
      <c r="A1626" t="s">
        <v>1537</v>
      </c>
      <c r="B1626" t="str">
        <f t="shared" si="251"/>
        <v>Off</v>
      </c>
      <c r="C1626" t="str">
        <f t="shared" si="251"/>
        <v>Off</v>
      </c>
      <c r="D1626" t="str">
        <f t="shared" si="251"/>
        <v>Off</v>
      </c>
      <c r="E1626" t="str">
        <f t="shared" si="251"/>
        <v>Off</v>
      </c>
      <c r="F1626" t="str">
        <f t="shared" si="251"/>
        <v>Off</v>
      </c>
      <c r="G1626" t="str">
        <f t="shared" si="251"/>
        <v>Off</v>
      </c>
      <c r="H1626" t="str">
        <f t="shared" si="251"/>
        <v>Off</v>
      </c>
      <c r="I1626" t="str">
        <f t="shared" si="251"/>
        <v>Off</v>
      </c>
      <c r="J1626" t="str">
        <f t="shared" si="251"/>
        <v>Off</v>
      </c>
      <c r="K1626" t="str">
        <f t="shared" si="251"/>
        <v>Off</v>
      </c>
      <c r="L1626" t="str">
        <f t="shared" si="251"/>
        <v>Off</v>
      </c>
      <c r="M1626" t="str">
        <f t="shared" si="251"/>
        <v>Off</v>
      </c>
      <c r="N1626" t="str">
        <f t="shared" si="251"/>
        <v>Off</v>
      </c>
      <c r="O1626" t="str">
        <f t="shared" si="251"/>
        <v>Off</v>
      </c>
      <c r="P1626" t="str">
        <f t="shared" si="251"/>
        <v>Off</v>
      </c>
      <c r="Q1626" t="str">
        <f t="shared" si="251"/>
        <v>Off</v>
      </c>
    </row>
    <row r="1627" spans="1:17">
      <c r="A1627" t="s">
        <v>1538</v>
      </c>
      <c r="B1627" t="str">
        <f t="shared" si="251"/>
        <v>Off</v>
      </c>
      <c r="C1627" t="str">
        <f t="shared" si="251"/>
        <v>Off</v>
      </c>
      <c r="D1627" t="str">
        <f t="shared" si="251"/>
        <v>Off</v>
      </c>
      <c r="E1627" t="str">
        <f t="shared" si="251"/>
        <v>Off</v>
      </c>
      <c r="F1627" t="str">
        <f t="shared" si="251"/>
        <v>Off</v>
      </c>
      <c r="G1627" t="str">
        <f t="shared" si="251"/>
        <v>Off</v>
      </c>
      <c r="H1627" t="str">
        <f t="shared" si="251"/>
        <v>Off</v>
      </c>
      <c r="I1627" t="str">
        <f t="shared" si="251"/>
        <v>Off</v>
      </c>
      <c r="J1627" t="str">
        <f t="shared" si="251"/>
        <v>Off</v>
      </c>
      <c r="K1627" t="str">
        <f t="shared" si="251"/>
        <v>Off</v>
      </c>
      <c r="L1627" t="str">
        <f t="shared" si="251"/>
        <v>Off</v>
      </c>
      <c r="M1627" t="str">
        <f t="shared" si="251"/>
        <v>Off</v>
      </c>
      <c r="N1627" t="str">
        <f t="shared" si="251"/>
        <v>Off</v>
      </c>
      <c r="O1627" t="str">
        <f t="shared" si="251"/>
        <v>Off</v>
      </c>
      <c r="P1627" t="str">
        <f t="shared" si="251"/>
        <v>Off</v>
      </c>
      <c r="Q1627" t="str">
        <f t="shared" si="251"/>
        <v>Off</v>
      </c>
    </row>
    <row r="1628" spans="1:17">
      <c r="A1628" t="s">
        <v>1539</v>
      </c>
      <c r="B1628" t="str">
        <f t="shared" si="251"/>
        <v>Off</v>
      </c>
      <c r="C1628" t="str">
        <f t="shared" si="251"/>
        <v>Off</v>
      </c>
      <c r="D1628" t="str">
        <f t="shared" si="251"/>
        <v>Off</v>
      </c>
      <c r="E1628" t="str">
        <f t="shared" si="251"/>
        <v>Off</v>
      </c>
      <c r="F1628" t="str">
        <f t="shared" si="251"/>
        <v>Off</v>
      </c>
      <c r="G1628" t="str">
        <f t="shared" si="251"/>
        <v>Off</v>
      </c>
      <c r="H1628" t="str">
        <f t="shared" si="251"/>
        <v>Off</v>
      </c>
      <c r="I1628" t="str">
        <f t="shared" si="251"/>
        <v>Off</v>
      </c>
      <c r="J1628" t="str">
        <f t="shared" si="251"/>
        <v>Off</v>
      </c>
      <c r="K1628" t="str">
        <f t="shared" si="251"/>
        <v>Off</v>
      </c>
      <c r="L1628" t="str">
        <f t="shared" si="251"/>
        <v>Off</v>
      </c>
      <c r="M1628" t="str">
        <f t="shared" si="251"/>
        <v>Off</v>
      </c>
      <c r="N1628" t="str">
        <f t="shared" si="251"/>
        <v>Off</v>
      </c>
      <c r="O1628" t="str">
        <f t="shared" si="251"/>
        <v>Off</v>
      </c>
      <c r="P1628" t="str">
        <f t="shared" si="251"/>
        <v>Off</v>
      </c>
      <c r="Q1628" t="str">
        <f t="shared" si="251"/>
        <v>Off</v>
      </c>
    </row>
    <row r="1629" spans="1:17">
      <c r="A1629" t="s">
        <v>39</v>
      </c>
      <c r="B1629" t="str">
        <f t="shared" si="251"/>
        <v>Off</v>
      </c>
      <c r="C1629" t="str">
        <f t="shared" si="251"/>
        <v>Off</v>
      </c>
      <c r="D1629" t="str">
        <f t="shared" si="251"/>
        <v>Off</v>
      </c>
      <c r="E1629" t="str">
        <f t="shared" si="251"/>
        <v>Off</v>
      </c>
      <c r="F1629" t="str">
        <f t="shared" si="251"/>
        <v>Off</v>
      </c>
      <c r="G1629" t="str">
        <f t="shared" si="251"/>
        <v>Off</v>
      </c>
      <c r="H1629" t="str">
        <f t="shared" si="251"/>
        <v>Off</v>
      </c>
      <c r="I1629" t="str">
        <f t="shared" si="251"/>
        <v>Off</v>
      </c>
      <c r="J1629" t="str">
        <f t="shared" si="251"/>
        <v>Off</v>
      </c>
      <c r="K1629" t="str">
        <f t="shared" si="251"/>
        <v>Off</v>
      </c>
      <c r="L1629" t="str">
        <f t="shared" si="251"/>
        <v>Off</v>
      </c>
      <c r="M1629" t="str">
        <f t="shared" si="251"/>
        <v>Off</v>
      </c>
      <c r="N1629" t="str">
        <f t="shared" si="251"/>
        <v>Off</v>
      </c>
      <c r="O1629" t="str">
        <f t="shared" si="251"/>
        <v>Off</v>
      </c>
      <c r="P1629" t="str">
        <f t="shared" si="251"/>
        <v>Off</v>
      </c>
      <c r="Q1629" t="str">
        <f t="shared" si="251"/>
        <v>Off</v>
      </c>
    </row>
    <row r="1630" spans="1:17">
      <c r="A1630" t="s">
        <v>150</v>
      </c>
      <c r="B1630" t="str">
        <f t="shared" si="251"/>
        <v>Off</v>
      </c>
      <c r="C1630" t="str">
        <f t="shared" si="251"/>
        <v>Off</v>
      </c>
      <c r="D1630" t="str">
        <f t="shared" si="251"/>
        <v>Off</v>
      </c>
      <c r="E1630" t="str">
        <f t="shared" si="251"/>
        <v>Off</v>
      </c>
      <c r="F1630" t="str">
        <f t="shared" si="251"/>
        <v>Off</v>
      </c>
      <c r="G1630" t="str">
        <f t="shared" si="251"/>
        <v>Off</v>
      </c>
      <c r="H1630" t="str">
        <f t="shared" si="251"/>
        <v>Off</v>
      </c>
      <c r="I1630" t="str">
        <f t="shared" si="251"/>
        <v>Off</v>
      </c>
      <c r="J1630" t="str">
        <f t="shared" si="251"/>
        <v>Off</v>
      </c>
      <c r="K1630" t="str">
        <f t="shared" si="251"/>
        <v>Off</v>
      </c>
      <c r="L1630" t="str">
        <f t="shared" si="251"/>
        <v>Off</v>
      </c>
      <c r="M1630" t="str">
        <f t="shared" si="251"/>
        <v>Off</v>
      </c>
      <c r="N1630" t="str">
        <f t="shared" si="251"/>
        <v>Off</v>
      </c>
      <c r="O1630" t="str">
        <f t="shared" si="251"/>
        <v>Off</v>
      </c>
      <c r="P1630" t="str">
        <f t="shared" si="251"/>
        <v>Off</v>
      </c>
      <c r="Q1630" t="str">
        <f t="shared" si="251"/>
        <v>Off</v>
      </c>
    </row>
    <row r="1631" spans="1:17">
      <c r="A1631" t="s">
        <v>2544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</row>
    <row r="1632" spans="1:17">
      <c r="A1632" t="s">
        <v>2545</v>
      </c>
      <c r="B1632" t="str">
        <f t="shared" ref="B1632:Q1633" si="252">"Off"</f>
        <v>Off</v>
      </c>
      <c r="C1632" t="str">
        <f t="shared" si="252"/>
        <v>Off</v>
      </c>
      <c r="D1632" t="str">
        <f t="shared" si="252"/>
        <v>Off</v>
      </c>
      <c r="E1632" t="str">
        <f t="shared" si="252"/>
        <v>Off</v>
      </c>
      <c r="F1632" t="str">
        <f t="shared" si="252"/>
        <v>Off</v>
      </c>
      <c r="G1632" t="str">
        <f t="shared" si="252"/>
        <v>Off</v>
      </c>
      <c r="H1632" t="str">
        <f t="shared" si="252"/>
        <v>Off</v>
      </c>
      <c r="I1632" t="str">
        <f t="shared" si="252"/>
        <v>Off</v>
      </c>
      <c r="J1632" t="str">
        <f t="shared" si="252"/>
        <v>Off</v>
      </c>
      <c r="K1632" t="str">
        <f t="shared" si="252"/>
        <v>Off</v>
      </c>
      <c r="L1632" t="str">
        <f t="shared" si="252"/>
        <v>Off</v>
      </c>
      <c r="M1632" t="str">
        <f t="shared" si="252"/>
        <v>Off</v>
      </c>
      <c r="N1632" t="str">
        <f t="shared" si="252"/>
        <v>Off</v>
      </c>
      <c r="O1632" t="str">
        <f t="shared" si="252"/>
        <v>Off</v>
      </c>
      <c r="P1632" t="str">
        <f t="shared" si="252"/>
        <v>Off</v>
      </c>
      <c r="Q1632" t="str">
        <f t="shared" si="252"/>
        <v>Off</v>
      </c>
    </row>
    <row r="1633" spans="1:17">
      <c r="A1633" t="s">
        <v>125</v>
      </c>
      <c r="B1633" t="str">
        <f t="shared" si="252"/>
        <v>Off</v>
      </c>
      <c r="C1633" t="str">
        <f t="shared" si="252"/>
        <v>Off</v>
      </c>
      <c r="D1633" t="str">
        <f t="shared" si="252"/>
        <v>Off</v>
      </c>
      <c r="E1633" t="str">
        <f t="shared" si="252"/>
        <v>Off</v>
      </c>
      <c r="F1633" t="str">
        <f t="shared" si="252"/>
        <v>Off</v>
      </c>
      <c r="G1633" t="str">
        <f t="shared" si="252"/>
        <v>Off</v>
      </c>
      <c r="H1633" t="str">
        <f t="shared" si="252"/>
        <v>Off</v>
      </c>
      <c r="I1633" t="str">
        <f t="shared" si="252"/>
        <v>Off</v>
      </c>
      <c r="J1633" t="str">
        <f t="shared" si="252"/>
        <v>Off</v>
      </c>
      <c r="K1633" t="str">
        <f t="shared" si="252"/>
        <v>Off</v>
      </c>
      <c r="L1633" t="str">
        <f t="shared" si="252"/>
        <v>Off</v>
      </c>
      <c r="M1633" t="str">
        <f t="shared" si="252"/>
        <v>Off</v>
      </c>
      <c r="N1633" t="str">
        <f t="shared" si="252"/>
        <v>Off</v>
      </c>
      <c r="O1633" t="str">
        <f t="shared" si="252"/>
        <v>Off</v>
      </c>
      <c r="P1633" t="str">
        <f t="shared" si="252"/>
        <v>Off</v>
      </c>
      <c r="Q1633" t="str">
        <f t="shared" si="252"/>
        <v>Off</v>
      </c>
    </row>
    <row r="1634" spans="1:17">
      <c r="A1634" t="s">
        <v>2546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</row>
    <row r="1635" spans="1:17">
      <c r="A1635" t="s">
        <v>126</v>
      </c>
      <c r="B1635" t="str">
        <f t="shared" ref="B1635:Q1636" si="253">"Off"</f>
        <v>Off</v>
      </c>
      <c r="C1635" t="str">
        <f t="shared" si="253"/>
        <v>Off</v>
      </c>
      <c r="D1635" t="str">
        <f t="shared" si="253"/>
        <v>Off</v>
      </c>
      <c r="E1635" t="str">
        <f t="shared" si="253"/>
        <v>Off</v>
      </c>
      <c r="F1635" t="str">
        <f t="shared" si="253"/>
        <v>Off</v>
      </c>
      <c r="G1635" t="str">
        <f t="shared" si="253"/>
        <v>Off</v>
      </c>
      <c r="H1635" t="str">
        <f t="shared" si="253"/>
        <v>Off</v>
      </c>
      <c r="I1635" t="str">
        <f t="shared" si="253"/>
        <v>Off</v>
      </c>
      <c r="J1635" t="str">
        <f t="shared" si="253"/>
        <v>Off</v>
      </c>
      <c r="K1635" t="str">
        <f t="shared" si="253"/>
        <v>Off</v>
      </c>
      <c r="L1635" t="str">
        <f t="shared" si="253"/>
        <v>Off</v>
      </c>
      <c r="M1635" t="str">
        <f t="shared" si="253"/>
        <v>Off</v>
      </c>
      <c r="N1635" t="str">
        <f t="shared" si="253"/>
        <v>Off</v>
      </c>
      <c r="O1635" t="str">
        <f t="shared" si="253"/>
        <v>Off</v>
      </c>
      <c r="P1635" t="str">
        <f t="shared" si="253"/>
        <v>Off</v>
      </c>
      <c r="Q1635" t="str">
        <f t="shared" si="253"/>
        <v>Off</v>
      </c>
    </row>
    <row r="1636" spans="1:17">
      <c r="A1636" t="s">
        <v>2547</v>
      </c>
      <c r="B1636" t="str">
        <f t="shared" si="253"/>
        <v>Off</v>
      </c>
      <c r="C1636" t="str">
        <f t="shared" si="253"/>
        <v>Off</v>
      </c>
      <c r="D1636" t="str">
        <f t="shared" si="253"/>
        <v>Off</v>
      </c>
      <c r="E1636" t="str">
        <f t="shared" si="253"/>
        <v>Off</v>
      </c>
      <c r="F1636" t="str">
        <f t="shared" si="253"/>
        <v>Off</v>
      </c>
      <c r="G1636" t="str">
        <f t="shared" si="253"/>
        <v>Off</v>
      </c>
      <c r="H1636" t="str">
        <f t="shared" si="253"/>
        <v>Off</v>
      </c>
      <c r="I1636" t="str">
        <f t="shared" si="253"/>
        <v>Off</v>
      </c>
      <c r="J1636" t="str">
        <f t="shared" si="253"/>
        <v>Off</v>
      </c>
      <c r="K1636" t="str">
        <f t="shared" si="253"/>
        <v>Off</v>
      </c>
      <c r="L1636" t="str">
        <f t="shared" si="253"/>
        <v>Off</v>
      </c>
      <c r="M1636" t="str">
        <f t="shared" si="253"/>
        <v>Off</v>
      </c>
      <c r="N1636" t="str">
        <f t="shared" si="253"/>
        <v>Off</v>
      </c>
      <c r="O1636" t="str">
        <f t="shared" si="253"/>
        <v>Off</v>
      </c>
      <c r="P1636" t="str">
        <f t="shared" si="253"/>
        <v>Off</v>
      </c>
      <c r="Q1636" t="str">
        <f t="shared" si="253"/>
        <v>Off</v>
      </c>
    </row>
    <row r="1637" spans="1:17">
      <c r="A1637" t="s">
        <v>1540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</row>
    <row r="1638" spans="1:17">
      <c r="A1638" t="s">
        <v>1541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</row>
    <row r="1639" spans="1:17">
      <c r="A1639" t="s">
        <v>1542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</row>
    <row r="1640" spans="1:17">
      <c r="A1640" t="s">
        <v>1543</v>
      </c>
      <c r="B1640">
        <v>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</row>
    <row r="1641" spans="1:17">
      <c r="A1641" t="s">
        <v>1544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</row>
    <row r="1642" spans="1:17">
      <c r="A1642" t="s">
        <v>1545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</row>
    <row r="1643" spans="1:17">
      <c r="A1643" t="s">
        <v>1546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</row>
    <row r="1644" spans="1:17">
      <c r="A1644" t="s">
        <v>1547</v>
      </c>
      <c r="B1644">
        <v>0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</row>
    <row r="1645" spans="1:17">
      <c r="A1645" t="s">
        <v>48</v>
      </c>
      <c r="B1645" t="str">
        <f t="shared" ref="B1645:Q1646" si="254">"Off"</f>
        <v>Off</v>
      </c>
      <c r="C1645" t="str">
        <f t="shared" si="254"/>
        <v>Off</v>
      </c>
      <c r="D1645" t="str">
        <f t="shared" si="254"/>
        <v>Off</v>
      </c>
      <c r="E1645" t="str">
        <f t="shared" si="254"/>
        <v>Off</v>
      </c>
      <c r="F1645" t="str">
        <f t="shared" si="254"/>
        <v>Off</v>
      </c>
      <c r="G1645" t="str">
        <f t="shared" si="254"/>
        <v>Off</v>
      </c>
      <c r="H1645" t="str">
        <f t="shared" si="254"/>
        <v>Off</v>
      </c>
      <c r="I1645" t="str">
        <f t="shared" si="254"/>
        <v>Off</v>
      </c>
      <c r="J1645" t="str">
        <f t="shared" si="254"/>
        <v>Off</v>
      </c>
      <c r="K1645" t="str">
        <f t="shared" si="254"/>
        <v>Off</v>
      </c>
      <c r="L1645" t="str">
        <f t="shared" si="254"/>
        <v>Off</v>
      </c>
      <c r="M1645" t="str">
        <f t="shared" si="254"/>
        <v>Off</v>
      </c>
      <c r="N1645" t="str">
        <f t="shared" si="254"/>
        <v>Off</v>
      </c>
      <c r="O1645" t="str">
        <f t="shared" si="254"/>
        <v>Off</v>
      </c>
      <c r="P1645" t="str">
        <f t="shared" si="254"/>
        <v>Off</v>
      </c>
      <c r="Q1645" t="str">
        <f t="shared" si="254"/>
        <v>Off</v>
      </c>
    </row>
    <row r="1646" spans="1:17">
      <c r="A1646" t="s">
        <v>2548</v>
      </c>
      <c r="B1646" t="str">
        <f t="shared" si="254"/>
        <v>Off</v>
      </c>
      <c r="C1646" t="str">
        <f t="shared" si="254"/>
        <v>Off</v>
      </c>
      <c r="D1646" t="str">
        <f t="shared" si="254"/>
        <v>Off</v>
      </c>
      <c r="E1646" t="str">
        <f t="shared" si="254"/>
        <v>Off</v>
      </c>
      <c r="F1646" t="str">
        <f t="shared" si="254"/>
        <v>Off</v>
      </c>
      <c r="G1646" t="str">
        <f t="shared" si="254"/>
        <v>Off</v>
      </c>
      <c r="H1646" t="str">
        <f t="shared" si="254"/>
        <v>Off</v>
      </c>
      <c r="I1646" t="str">
        <f t="shared" si="254"/>
        <v>Off</v>
      </c>
      <c r="J1646" t="str">
        <f t="shared" si="254"/>
        <v>Off</v>
      </c>
      <c r="K1646" t="str">
        <f t="shared" si="254"/>
        <v>Off</v>
      </c>
      <c r="L1646" t="str">
        <f t="shared" si="254"/>
        <v>Off</v>
      </c>
      <c r="M1646" t="str">
        <f t="shared" si="254"/>
        <v>Off</v>
      </c>
      <c r="N1646" t="str">
        <f t="shared" si="254"/>
        <v>Off</v>
      </c>
      <c r="O1646" t="str">
        <f t="shared" si="254"/>
        <v>Off</v>
      </c>
      <c r="P1646" t="str">
        <f t="shared" si="254"/>
        <v>Off</v>
      </c>
      <c r="Q1646" t="str">
        <f t="shared" si="254"/>
        <v>Off</v>
      </c>
    </row>
    <row r="1647" spans="1:17">
      <c r="A1647" t="s">
        <v>2549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</row>
    <row r="1649" spans="1:9">
      <c r="B1649" t="s">
        <v>2550</v>
      </c>
      <c r="C1649">
        <v>11</v>
      </c>
      <c r="D1649">
        <v>1</v>
      </c>
      <c r="E1649">
        <v>1</v>
      </c>
    </row>
    <row r="1650" spans="1:9">
      <c r="B1650" t="s">
        <v>2551</v>
      </c>
    </row>
    <row r="1651" spans="1:9">
      <c r="A1651" t="s">
        <v>2552</v>
      </c>
      <c r="B1651" t="str">
        <f t="shared" ref="B1651:B1657" si="255">"NONE"</f>
        <v>NONE</v>
      </c>
    </row>
    <row r="1652" spans="1:9">
      <c r="A1652" t="s">
        <v>2553</v>
      </c>
      <c r="B1652" t="str">
        <f t="shared" si="255"/>
        <v>NONE</v>
      </c>
    </row>
    <row r="1653" spans="1:9">
      <c r="A1653" t="s">
        <v>2299</v>
      </c>
      <c r="B1653" t="str">
        <f t="shared" si="255"/>
        <v>NONE</v>
      </c>
    </row>
    <row r="1654" spans="1:9">
      <c r="A1654" t="s">
        <v>2554</v>
      </c>
      <c r="B1654" t="str">
        <f t="shared" si="255"/>
        <v>NONE</v>
      </c>
    </row>
    <row r="1655" spans="1:9">
      <c r="A1655" t="s">
        <v>2555</v>
      </c>
      <c r="B1655" t="str">
        <f t="shared" si="255"/>
        <v>NONE</v>
      </c>
    </row>
    <row r="1656" spans="1:9">
      <c r="A1656" t="s">
        <v>2556</v>
      </c>
      <c r="B1656" t="str">
        <f t="shared" si="255"/>
        <v>NONE</v>
      </c>
    </row>
    <row r="1657" spans="1:9">
      <c r="A1657" t="s">
        <v>2557</v>
      </c>
      <c r="B1657" t="str">
        <f t="shared" si="255"/>
        <v>NONE</v>
      </c>
    </row>
    <row r="1658" spans="1:9">
      <c r="A1658" t="s">
        <v>2558</v>
      </c>
      <c r="B1658">
        <v>0</v>
      </c>
    </row>
    <row r="1659" spans="1:9">
      <c r="A1659" t="s">
        <v>2559</v>
      </c>
      <c r="B1659">
        <v>0</v>
      </c>
    </row>
    <row r="1660" spans="1:9">
      <c r="A1660" t="s">
        <v>2560</v>
      </c>
      <c r="B1660" t="str">
        <f>"NONE"</f>
        <v>NONE</v>
      </c>
    </row>
    <row r="1661" spans="1:9">
      <c r="A1661" t="s">
        <v>2561</v>
      </c>
      <c r="B1661" t="str">
        <f>"NONE"</f>
        <v>NONE</v>
      </c>
    </row>
    <row r="1663" spans="1:9">
      <c r="B1663" t="s">
        <v>2562</v>
      </c>
      <c r="C1663">
        <v>2</v>
      </c>
      <c r="D1663">
        <v>8</v>
      </c>
      <c r="E1663">
        <v>1</v>
      </c>
    </row>
    <row r="1664" spans="1:9">
      <c r="B1664" t="s">
        <v>2563</v>
      </c>
      <c r="C1664" t="s">
        <v>2564</v>
      </c>
      <c r="D1664" t="s">
        <v>2565</v>
      </c>
      <c r="E1664" t="s">
        <v>2566</v>
      </c>
      <c r="F1664" t="s">
        <v>2567</v>
      </c>
      <c r="G1664" t="s">
        <v>2568</v>
      </c>
      <c r="H1664" t="s">
        <v>2569</v>
      </c>
      <c r="I1664" t="s">
        <v>2570</v>
      </c>
    </row>
    <row r="1665" spans="1:9">
      <c r="A1665" t="s">
        <v>2571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</row>
    <row r="1666" spans="1:9">
      <c r="A1666" t="s">
        <v>198</v>
      </c>
      <c r="B1666">
        <v>6</v>
      </c>
      <c r="C1666">
        <v>6</v>
      </c>
      <c r="D1666">
        <v>6</v>
      </c>
      <c r="E1666">
        <v>6</v>
      </c>
      <c r="F1666">
        <v>0</v>
      </c>
      <c r="G1666">
        <v>0</v>
      </c>
      <c r="H1666">
        <v>0</v>
      </c>
      <c r="I1666">
        <v>0</v>
      </c>
    </row>
    <row r="1668" spans="1:9">
      <c r="B1668" t="s">
        <v>2572</v>
      </c>
      <c r="C1668">
        <v>41</v>
      </c>
      <c r="D1668">
        <v>6</v>
      </c>
      <c r="E1668">
        <v>1</v>
      </c>
    </row>
    <row r="1669" spans="1:9">
      <c r="B1669" t="s">
        <v>2573</v>
      </c>
      <c r="C1669" t="s">
        <v>2574</v>
      </c>
      <c r="D1669" t="s">
        <v>2575</v>
      </c>
      <c r="E1669" t="s">
        <v>2576</v>
      </c>
      <c r="F1669" t="s">
        <v>2577</v>
      </c>
      <c r="G1669" t="s">
        <v>2578</v>
      </c>
    </row>
    <row r="1670" spans="1:9">
      <c r="A1670" t="s">
        <v>19</v>
      </c>
      <c r="B1670">
        <v>0</v>
      </c>
      <c r="C1670">
        <v>0</v>
      </c>
      <c r="D1670">
        <v>0</v>
      </c>
      <c r="E1670">
        <v>0</v>
      </c>
      <c r="F1670">
        <v>0</v>
      </c>
      <c r="G1670">
        <v>0</v>
      </c>
    </row>
    <row r="1671" spans="1:9">
      <c r="A1671" t="s">
        <v>2579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</row>
    <row r="1672" spans="1:9">
      <c r="A1672" t="s">
        <v>2580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</row>
    <row r="1673" spans="1:9">
      <c r="A1673" t="s">
        <v>2581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</row>
    <row r="1674" spans="1:9">
      <c r="A1674" t="s">
        <v>2582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</row>
    <row r="1675" spans="1:9">
      <c r="A1675" t="s">
        <v>2583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</row>
    <row r="1676" spans="1:9">
      <c r="A1676" t="s">
        <v>2584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</row>
    <row r="1677" spans="1:9">
      <c r="A1677" t="s">
        <v>2585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</row>
    <row r="1678" spans="1:9">
      <c r="A1678" t="s">
        <v>2586</v>
      </c>
      <c r="B1678">
        <v>0</v>
      </c>
      <c r="C1678">
        <v>0</v>
      </c>
      <c r="D1678">
        <v>2</v>
      </c>
      <c r="E1678">
        <v>4</v>
      </c>
      <c r="F1678">
        <v>6</v>
      </c>
      <c r="G1678">
        <v>8</v>
      </c>
    </row>
    <row r="1679" spans="1:9">
      <c r="A1679" t="s">
        <v>2587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</row>
    <row r="1680" spans="1:9">
      <c r="A1680" t="s">
        <v>2588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</row>
    <row r="1681" spans="1:7">
      <c r="A1681" t="s">
        <v>2589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</row>
    <row r="1682" spans="1:7">
      <c r="A1682" t="s">
        <v>2590</v>
      </c>
      <c r="B1682">
        <v>0</v>
      </c>
      <c r="C1682">
        <v>0</v>
      </c>
      <c r="D1682">
        <v>5</v>
      </c>
      <c r="E1682">
        <v>7</v>
      </c>
      <c r="F1682">
        <v>1</v>
      </c>
      <c r="G1682">
        <v>3</v>
      </c>
    </row>
    <row r="1683" spans="1:7">
      <c r="A1683" t="s">
        <v>2591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</row>
    <row r="1684" spans="1:7">
      <c r="A1684" t="s">
        <v>2592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</row>
    <row r="1685" spans="1:7">
      <c r="A1685" t="s">
        <v>2593</v>
      </c>
      <c r="B1685">
        <v>0</v>
      </c>
      <c r="C1685">
        <v>0</v>
      </c>
      <c r="D1685">
        <v>0</v>
      </c>
      <c r="E1685">
        <v>0</v>
      </c>
      <c r="F1685">
        <v>0</v>
      </c>
      <c r="G1685">
        <v>0</v>
      </c>
    </row>
    <row r="1686" spans="1:7">
      <c r="A1686" t="s">
        <v>2594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0</v>
      </c>
    </row>
    <row r="1687" spans="1:7">
      <c r="A1687" t="s">
        <v>2595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</row>
    <row r="1688" spans="1:7">
      <c r="A1688" t="s">
        <v>2596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</row>
    <row r="1689" spans="1:7">
      <c r="A1689" t="s">
        <v>2597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</row>
    <row r="1690" spans="1:7">
      <c r="A1690" t="s">
        <v>2598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</row>
    <row r="1691" spans="1:7">
      <c r="A1691" t="s">
        <v>2599</v>
      </c>
      <c r="B1691">
        <v>0</v>
      </c>
      <c r="C1691">
        <v>0</v>
      </c>
      <c r="D1691">
        <v>2</v>
      </c>
      <c r="E1691">
        <v>4</v>
      </c>
      <c r="F1691">
        <v>2</v>
      </c>
      <c r="G1691">
        <v>4</v>
      </c>
    </row>
    <row r="1692" spans="1:7">
      <c r="A1692" t="s">
        <v>2600</v>
      </c>
      <c r="B1692">
        <v>0</v>
      </c>
      <c r="C1692">
        <v>0</v>
      </c>
      <c r="D1692">
        <v>6</v>
      </c>
      <c r="E1692">
        <v>8</v>
      </c>
      <c r="F1692">
        <v>6</v>
      </c>
      <c r="G1692">
        <v>8</v>
      </c>
    </row>
    <row r="1693" spans="1:7">
      <c r="A1693" t="s">
        <v>2601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</row>
    <row r="1694" spans="1:7">
      <c r="A1694" t="s">
        <v>2602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</row>
    <row r="1695" spans="1:7">
      <c r="A1695" t="s">
        <v>2603</v>
      </c>
      <c r="B1695" t="str">
        <f>"ON"</f>
        <v>ON</v>
      </c>
      <c r="C1695" t="str">
        <f>"OFF"</f>
        <v>OFF</v>
      </c>
      <c r="D1695" t="str">
        <f>"OFF"</f>
        <v>OFF</v>
      </c>
      <c r="E1695" t="str">
        <f>"OFF"</f>
        <v>OFF</v>
      </c>
      <c r="F1695" t="str">
        <f>"OFF"</f>
        <v>OFF</v>
      </c>
      <c r="G1695" t="str">
        <f>"OFF"</f>
        <v>OFF</v>
      </c>
    </row>
    <row r="1696" spans="1:7">
      <c r="A1696" t="s">
        <v>2604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</row>
    <row r="1697" spans="1:7">
      <c r="A1697" t="s">
        <v>21</v>
      </c>
      <c r="B1697" t="str">
        <f t="shared" ref="B1697:G1697" si="256">"OFF"</f>
        <v>OFF</v>
      </c>
      <c r="C1697" t="str">
        <f t="shared" si="256"/>
        <v>OFF</v>
      </c>
      <c r="D1697" t="str">
        <f t="shared" si="256"/>
        <v>OFF</v>
      </c>
      <c r="E1697" t="str">
        <f t="shared" si="256"/>
        <v>OFF</v>
      </c>
      <c r="F1697" t="str">
        <f t="shared" si="256"/>
        <v>OFF</v>
      </c>
      <c r="G1697" t="str">
        <f t="shared" si="256"/>
        <v>OFF</v>
      </c>
    </row>
    <row r="1698" spans="1:7">
      <c r="A1698" t="s">
        <v>2436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</row>
    <row r="1699" spans="1:7">
      <c r="A1699" t="s">
        <v>2605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</row>
    <row r="1700" spans="1:7">
      <c r="A1700" t="s">
        <v>22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</row>
    <row r="1701" spans="1:7">
      <c r="A1701" t="s">
        <v>116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</row>
    <row r="1702" spans="1:7">
      <c r="A1702" t="s">
        <v>2606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</row>
    <row r="1703" spans="1:7">
      <c r="A1703" t="s">
        <v>2607</v>
      </c>
      <c r="B1703" t="str">
        <f t="shared" ref="B1703:G1704" si="257">"OFF"</f>
        <v>OFF</v>
      </c>
      <c r="C1703" t="str">
        <f t="shared" si="257"/>
        <v>OFF</v>
      </c>
      <c r="D1703" t="str">
        <f t="shared" si="257"/>
        <v>OFF</v>
      </c>
      <c r="E1703" t="str">
        <f t="shared" si="257"/>
        <v>OFF</v>
      </c>
      <c r="F1703" t="str">
        <f t="shared" si="257"/>
        <v>OFF</v>
      </c>
      <c r="G1703" t="str">
        <f t="shared" si="257"/>
        <v>OFF</v>
      </c>
    </row>
    <row r="1704" spans="1:7">
      <c r="A1704" t="s">
        <v>2608</v>
      </c>
      <c r="B1704" t="str">
        <f t="shared" si="257"/>
        <v>OFF</v>
      </c>
      <c r="C1704" t="str">
        <f t="shared" si="257"/>
        <v>OFF</v>
      </c>
      <c r="D1704" t="str">
        <f t="shared" si="257"/>
        <v>OFF</v>
      </c>
      <c r="E1704" t="str">
        <f t="shared" si="257"/>
        <v>OFF</v>
      </c>
      <c r="F1704" t="str">
        <f t="shared" si="257"/>
        <v>OFF</v>
      </c>
      <c r="G1704" t="str">
        <f t="shared" si="257"/>
        <v>OFF</v>
      </c>
    </row>
    <row r="1705" spans="1:7">
      <c r="A1705" t="s">
        <v>2478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</row>
    <row r="1706" spans="1:7">
      <c r="A1706" t="s">
        <v>2609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</row>
    <row r="1707" spans="1:7">
      <c r="A1707" t="s">
        <v>2610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</row>
    <row r="1708" spans="1:7">
      <c r="A1708" t="s">
        <v>2611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</row>
    <row r="1709" spans="1:7">
      <c r="A1709" t="s">
        <v>2612</v>
      </c>
      <c r="B1709">
        <v>0</v>
      </c>
      <c r="C1709">
        <v>0</v>
      </c>
      <c r="D1709">
        <v>0</v>
      </c>
      <c r="E1709">
        <v>0</v>
      </c>
      <c r="F1709">
        <v>0</v>
      </c>
      <c r="G1709">
        <v>0</v>
      </c>
    </row>
    <row r="1710" spans="1:7">
      <c r="A1710" t="s">
        <v>2613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</row>
    <row r="1712" spans="1:7">
      <c r="B1712" t="s">
        <v>2614</v>
      </c>
      <c r="C1712">
        <v>41</v>
      </c>
      <c r="D1712">
        <v>6</v>
      </c>
      <c r="E1712">
        <v>1</v>
      </c>
    </row>
    <row r="1713" spans="1:7">
      <c r="B1713" t="s">
        <v>2615</v>
      </c>
      <c r="C1713" t="s">
        <v>2616</v>
      </c>
      <c r="D1713" t="s">
        <v>2617</v>
      </c>
      <c r="E1713" t="s">
        <v>2618</v>
      </c>
      <c r="F1713" t="s">
        <v>2619</v>
      </c>
      <c r="G1713" t="s">
        <v>2620</v>
      </c>
    </row>
    <row r="1714" spans="1:7">
      <c r="A1714" t="s">
        <v>19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</row>
    <row r="1715" spans="1:7">
      <c r="A1715" t="s">
        <v>2579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</row>
    <row r="1716" spans="1:7">
      <c r="A1716" t="s">
        <v>2580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</row>
    <row r="1717" spans="1:7">
      <c r="A1717" t="s">
        <v>2581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0</v>
      </c>
    </row>
    <row r="1718" spans="1:7">
      <c r="A1718" t="s">
        <v>2582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</row>
    <row r="1719" spans="1:7">
      <c r="A1719" t="s">
        <v>2583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</row>
    <row r="1720" spans="1:7">
      <c r="A1720" t="s">
        <v>2584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</row>
    <row r="1721" spans="1:7">
      <c r="A1721" t="s">
        <v>2621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</row>
    <row r="1722" spans="1:7">
      <c r="A1722" t="s">
        <v>2585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</row>
    <row r="1723" spans="1:7">
      <c r="A1723" t="s">
        <v>2622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</row>
    <row r="1724" spans="1:7">
      <c r="A1724" t="s">
        <v>2623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</row>
    <row r="1725" spans="1:7">
      <c r="A1725" t="s">
        <v>2624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</row>
    <row r="1726" spans="1:7">
      <c r="A1726" t="s">
        <v>2625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</row>
    <row r="1727" spans="1:7">
      <c r="A1727" t="s">
        <v>2626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</row>
    <row r="1728" spans="1:7">
      <c r="A1728" t="s">
        <v>2627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</row>
    <row r="1729" spans="1:7">
      <c r="A1729" t="s">
        <v>2628</v>
      </c>
      <c r="B1729">
        <v>0</v>
      </c>
      <c r="C1729">
        <v>0</v>
      </c>
      <c r="D1729">
        <v>0</v>
      </c>
      <c r="E1729">
        <v>0</v>
      </c>
      <c r="F1729">
        <v>0</v>
      </c>
      <c r="G1729">
        <v>0</v>
      </c>
    </row>
    <row r="1730" spans="1:7">
      <c r="A1730" t="s">
        <v>2629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0</v>
      </c>
    </row>
    <row r="1731" spans="1:7">
      <c r="A1731" t="s">
        <v>2630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</row>
    <row r="1732" spans="1:7">
      <c r="A1732" t="s">
        <v>2631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</row>
    <row r="1733" spans="1:7">
      <c r="A1733" t="s">
        <v>2632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</row>
    <row r="1734" spans="1:7">
      <c r="A1734" t="s">
        <v>2633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</row>
    <row r="1735" spans="1:7">
      <c r="A1735" t="s">
        <v>2599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0</v>
      </c>
    </row>
    <row r="1736" spans="1:7">
      <c r="A1736" t="s">
        <v>2600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</row>
    <row r="1737" spans="1:7">
      <c r="A1737" t="s">
        <v>2601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</row>
    <row r="1738" spans="1:7">
      <c r="A1738" t="s">
        <v>2602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</row>
    <row r="1739" spans="1:7">
      <c r="A1739" t="s">
        <v>2603</v>
      </c>
      <c r="B1739" t="str">
        <f t="shared" ref="B1739:G1739" si="258">"OFF"</f>
        <v>OFF</v>
      </c>
      <c r="C1739" t="str">
        <f t="shared" si="258"/>
        <v>OFF</v>
      </c>
      <c r="D1739" t="str">
        <f t="shared" si="258"/>
        <v>OFF</v>
      </c>
      <c r="E1739" t="str">
        <f t="shared" si="258"/>
        <v>OFF</v>
      </c>
      <c r="F1739" t="str">
        <f t="shared" si="258"/>
        <v>OFF</v>
      </c>
      <c r="G1739" t="str">
        <f t="shared" si="258"/>
        <v>OFF</v>
      </c>
    </row>
    <row r="1740" spans="1:7">
      <c r="A1740" t="s">
        <v>2604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</row>
    <row r="1741" spans="1:7">
      <c r="A1741" t="s">
        <v>21</v>
      </c>
      <c r="B1741" t="str">
        <f t="shared" ref="B1741:G1741" si="259">"ON"</f>
        <v>ON</v>
      </c>
      <c r="C1741" t="str">
        <f t="shared" si="259"/>
        <v>ON</v>
      </c>
      <c r="D1741" t="str">
        <f t="shared" si="259"/>
        <v>ON</v>
      </c>
      <c r="E1741" t="str">
        <f t="shared" si="259"/>
        <v>ON</v>
      </c>
      <c r="F1741" t="str">
        <f t="shared" si="259"/>
        <v>ON</v>
      </c>
      <c r="G1741" t="str">
        <f t="shared" si="259"/>
        <v>ON</v>
      </c>
    </row>
    <row r="1742" spans="1:7">
      <c r="A1742" t="s">
        <v>2436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</row>
    <row r="1743" spans="1:7">
      <c r="A1743" t="s">
        <v>2605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</row>
    <row r="1744" spans="1:7">
      <c r="A1744" t="s">
        <v>22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</row>
    <row r="1745" spans="1:7">
      <c r="A1745" t="s">
        <v>116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</row>
    <row r="1746" spans="1:7">
      <c r="A1746" t="s">
        <v>2606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</row>
    <row r="1747" spans="1:7">
      <c r="A1747" t="s">
        <v>2607</v>
      </c>
      <c r="B1747" t="str">
        <f t="shared" ref="B1747:G1748" si="260">"ON"</f>
        <v>ON</v>
      </c>
      <c r="C1747" t="str">
        <f t="shared" si="260"/>
        <v>ON</v>
      </c>
      <c r="D1747" t="str">
        <f t="shared" si="260"/>
        <v>ON</v>
      </c>
      <c r="E1747" t="str">
        <f t="shared" si="260"/>
        <v>ON</v>
      </c>
      <c r="F1747" t="str">
        <f t="shared" si="260"/>
        <v>ON</v>
      </c>
      <c r="G1747" t="str">
        <f t="shared" si="260"/>
        <v>ON</v>
      </c>
    </row>
    <row r="1748" spans="1:7">
      <c r="A1748" t="s">
        <v>2608</v>
      </c>
      <c r="B1748" t="str">
        <f t="shared" si="260"/>
        <v>ON</v>
      </c>
      <c r="C1748" t="str">
        <f t="shared" si="260"/>
        <v>ON</v>
      </c>
      <c r="D1748" t="str">
        <f t="shared" si="260"/>
        <v>ON</v>
      </c>
      <c r="E1748" t="str">
        <f t="shared" si="260"/>
        <v>ON</v>
      </c>
      <c r="F1748" t="str">
        <f t="shared" si="260"/>
        <v>ON</v>
      </c>
      <c r="G1748" t="str">
        <f t="shared" si="260"/>
        <v>ON</v>
      </c>
    </row>
    <row r="1749" spans="1:7">
      <c r="A1749" t="s">
        <v>2478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</row>
    <row r="1750" spans="1:7">
      <c r="A1750" t="s">
        <v>2609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</row>
    <row r="1751" spans="1:7">
      <c r="A1751" t="s">
        <v>2634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0</v>
      </c>
    </row>
    <row r="1752" spans="1:7">
      <c r="A1752" t="s">
        <v>2635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</row>
    <row r="1753" spans="1:7">
      <c r="A1753" t="s">
        <v>2636</v>
      </c>
      <c r="B1753">
        <v>0</v>
      </c>
      <c r="C1753">
        <v>0</v>
      </c>
      <c r="D1753">
        <v>0</v>
      </c>
      <c r="E1753">
        <v>0</v>
      </c>
      <c r="F1753">
        <v>0</v>
      </c>
      <c r="G1753">
        <v>0</v>
      </c>
    </row>
    <row r="1754" spans="1:7">
      <c r="A1754" t="s">
        <v>2637</v>
      </c>
      <c r="B1754">
        <v>0</v>
      </c>
      <c r="C1754">
        <v>0</v>
      </c>
      <c r="D1754">
        <v>0</v>
      </c>
      <c r="E1754">
        <v>0</v>
      </c>
      <c r="F1754">
        <v>0</v>
      </c>
      <c r="G1754">
        <v>0</v>
      </c>
    </row>
    <row r="1756" spans="1:7">
      <c r="B1756" t="s">
        <v>2638</v>
      </c>
      <c r="C1756">
        <v>0</v>
      </c>
      <c r="D1756">
        <v>0</v>
      </c>
      <c r="E1756">
        <v>0</v>
      </c>
    </row>
    <row r="1757" spans="1:7">
      <c r="B1757" t="s">
        <v>2639</v>
      </c>
      <c r="C1757" t="s">
        <v>2640</v>
      </c>
      <c r="D1757" t="s">
        <v>2641</v>
      </c>
      <c r="E1757" t="s">
        <v>2642</v>
      </c>
      <c r="F1757" t="s">
        <v>2643</v>
      </c>
      <c r="G1757" t="s">
        <v>2644</v>
      </c>
    </row>
    <row r="1758" spans="1:7">
      <c r="A1758" t="s">
        <v>2645</v>
      </c>
      <c r="B1758" t="str">
        <f t="shared" ref="B1758:G1760" si="261">"OFF"</f>
        <v>OFF</v>
      </c>
      <c r="C1758" t="str">
        <f t="shared" si="261"/>
        <v>OFF</v>
      </c>
      <c r="D1758" t="str">
        <f t="shared" si="261"/>
        <v>OFF</v>
      </c>
      <c r="E1758" t="str">
        <f t="shared" si="261"/>
        <v>OFF</v>
      </c>
      <c r="F1758" t="str">
        <f t="shared" si="261"/>
        <v>OFF</v>
      </c>
      <c r="G1758" t="str">
        <f t="shared" si="261"/>
        <v>OFF</v>
      </c>
    </row>
    <row r="1759" spans="1:7">
      <c r="A1759" t="s">
        <v>3916</v>
      </c>
      <c r="B1759" t="str">
        <f t="shared" si="261"/>
        <v>OFF</v>
      </c>
      <c r="C1759" t="str">
        <f t="shared" si="261"/>
        <v>OFF</v>
      </c>
      <c r="D1759" t="str">
        <f t="shared" si="261"/>
        <v>OFF</v>
      </c>
      <c r="E1759" t="str">
        <f t="shared" si="261"/>
        <v>OFF</v>
      </c>
      <c r="F1759" t="str">
        <f t="shared" si="261"/>
        <v>OFF</v>
      </c>
      <c r="G1759" t="str">
        <f t="shared" si="261"/>
        <v>OFF</v>
      </c>
    </row>
    <row r="1760" spans="1:7">
      <c r="A1760" t="s">
        <v>2646</v>
      </c>
      <c r="B1760" t="str">
        <f t="shared" si="261"/>
        <v>OFF</v>
      </c>
      <c r="C1760" t="str">
        <f t="shared" si="261"/>
        <v>OFF</v>
      </c>
      <c r="D1760" t="str">
        <f t="shared" si="261"/>
        <v>OFF</v>
      </c>
      <c r="E1760" t="str">
        <f t="shared" si="261"/>
        <v>OFF</v>
      </c>
      <c r="F1760" t="str">
        <f t="shared" si="261"/>
        <v>OFF</v>
      </c>
      <c r="G1760" t="str">
        <f t="shared" si="261"/>
        <v>OFF</v>
      </c>
    </row>
    <row r="1761" spans="1:7">
      <c r="A1761" t="s">
        <v>2647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0</v>
      </c>
    </row>
    <row r="1762" spans="1:7">
      <c r="A1762" t="s">
        <v>2648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</row>
    <row r="1763" spans="1:7">
      <c r="A1763" t="s">
        <v>2649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</row>
    <row r="1764" spans="1:7">
      <c r="A1764" t="s">
        <v>2650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</row>
    <row r="1765" spans="1:7">
      <c r="A1765" t="s">
        <v>2651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</row>
    <row r="1766" spans="1:7">
      <c r="A1766" t="s">
        <v>2652</v>
      </c>
      <c r="B1766">
        <v>0</v>
      </c>
      <c r="C1766">
        <v>0</v>
      </c>
      <c r="D1766">
        <v>0</v>
      </c>
      <c r="E1766">
        <v>0</v>
      </c>
      <c r="F1766">
        <v>0</v>
      </c>
      <c r="G1766">
        <v>0</v>
      </c>
    </row>
    <row r="1767" spans="1:7">
      <c r="A1767" t="s">
        <v>2653</v>
      </c>
      <c r="B1767">
        <v>0</v>
      </c>
      <c r="C1767">
        <v>0</v>
      </c>
      <c r="D1767">
        <v>0</v>
      </c>
      <c r="E1767">
        <v>0</v>
      </c>
      <c r="F1767">
        <v>0</v>
      </c>
      <c r="G1767">
        <v>0</v>
      </c>
    </row>
    <row r="1768" spans="1:7">
      <c r="A1768" t="s">
        <v>2654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</row>
    <row r="1769" spans="1:7">
      <c r="A1769" t="s">
        <v>2655</v>
      </c>
      <c r="B1769">
        <v>0</v>
      </c>
      <c r="C1769">
        <v>0</v>
      </c>
      <c r="D1769">
        <v>0</v>
      </c>
      <c r="E1769">
        <v>0</v>
      </c>
      <c r="F1769">
        <v>0</v>
      </c>
      <c r="G1769">
        <v>0</v>
      </c>
    </row>
    <row r="1770" spans="1:7">
      <c r="A1770" t="s">
        <v>2656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</row>
    <row r="1771" spans="1:7">
      <c r="A1771" t="s">
        <v>2657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</row>
    <row r="1772" spans="1:7">
      <c r="A1772" t="s">
        <v>2658</v>
      </c>
      <c r="B1772">
        <v>0</v>
      </c>
      <c r="C1772">
        <v>0</v>
      </c>
      <c r="D1772">
        <v>0</v>
      </c>
      <c r="E1772">
        <v>0</v>
      </c>
      <c r="F1772">
        <v>0</v>
      </c>
      <c r="G1772">
        <v>0</v>
      </c>
    </row>
    <row r="1773" spans="1:7">
      <c r="A1773" t="s">
        <v>2659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</row>
    <row r="1774" spans="1:7">
      <c r="A1774" t="s">
        <v>2660</v>
      </c>
      <c r="B1774">
        <v>0</v>
      </c>
      <c r="C1774">
        <v>0</v>
      </c>
      <c r="D1774">
        <v>0</v>
      </c>
      <c r="E1774">
        <v>0</v>
      </c>
      <c r="F1774">
        <v>0</v>
      </c>
      <c r="G1774">
        <v>0</v>
      </c>
    </row>
    <row r="1775" spans="1:7">
      <c r="A1775" t="s">
        <v>2661</v>
      </c>
      <c r="B1775">
        <v>0</v>
      </c>
      <c r="C1775">
        <v>0</v>
      </c>
      <c r="D1775">
        <v>0</v>
      </c>
      <c r="E1775">
        <v>0</v>
      </c>
      <c r="F1775">
        <v>0</v>
      </c>
      <c r="G1775">
        <v>0</v>
      </c>
    </row>
    <row r="1776" spans="1:7">
      <c r="A1776" t="s">
        <v>2662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</row>
    <row r="1777" spans="1:7">
      <c r="A1777" t="s">
        <v>2663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</row>
    <row r="1778" spans="1:7">
      <c r="A1778" t="s">
        <v>2664</v>
      </c>
      <c r="B1778">
        <v>0</v>
      </c>
      <c r="C1778">
        <v>0</v>
      </c>
      <c r="D1778">
        <v>0</v>
      </c>
      <c r="E1778">
        <v>0</v>
      </c>
      <c r="F1778">
        <v>0</v>
      </c>
      <c r="G1778">
        <v>0</v>
      </c>
    </row>
    <row r="1779" spans="1:7">
      <c r="A1779" t="s">
        <v>2665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</row>
    <row r="1780" spans="1:7">
      <c r="A1780" t="s">
        <v>2666</v>
      </c>
      <c r="B1780">
        <v>0</v>
      </c>
      <c r="C1780">
        <v>0</v>
      </c>
      <c r="D1780">
        <v>0</v>
      </c>
      <c r="E1780">
        <v>0</v>
      </c>
      <c r="F1780">
        <v>0</v>
      </c>
      <c r="G1780">
        <v>0</v>
      </c>
    </row>
    <row r="1781" spans="1:7">
      <c r="A1781" t="s">
        <v>2667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</row>
    <row r="1782" spans="1:7">
      <c r="A1782" t="s">
        <v>2668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</row>
    <row r="1783" spans="1:7">
      <c r="A1783" t="s">
        <v>2669</v>
      </c>
      <c r="B1783">
        <v>0</v>
      </c>
      <c r="C1783">
        <v>0</v>
      </c>
      <c r="D1783">
        <v>0</v>
      </c>
      <c r="E1783">
        <v>0</v>
      </c>
      <c r="F1783">
        <v>0</v>
      </c>
      <c r="G1783">
        <v>0</v>
      </c>
    </row>
    <row r="1784" spans="1:7">
      <c r="A1784" t="s">
        <v>2670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</row>
    <row r="1785" spans="1:7">
      <c r="A1785" t="s">
        <v>2671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</row>
    <row r="1786" spans="1:7">
      <c r="A1786" t="s">
        <v>2672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</row>
    <row r="1787" spans="1:7">
      <c r="A1787" t="s">
        <v>2673</v>
      </c>
      <c r="B1787" t="str">
        <f t="shared" ref="B1787:G1788" si="262">"OFF"</f>
        <v>OFF</v>
      </c>
      <c r="C1787" t="str">
        <f t="shared" si="262"/>
        <v>OFF</v>
      </c>
      <c r="D1787" t="str">
        <f t="shared" si="262"/>
        <v>OFF</v>
      </c>
      <c r="E1787" t="str">
        <f t="shared" si="262"/>
        <v>OFF</v>
      </c>
      <c r="F1787" t="str">
        <f t="shared" si="262"/>
        <v>OFF</v>
      </c>
      <c r="G1787" t="str">
        <f t="shared" si="262"/>
        <v>OFF</v>
      </c>
    </row>
    <row r="1788" spans="1:7">
      <c r="A1788" t="s">
        <v>2674</v>
      </c>
      <c r="B1788" t="str">
        <f t="shared" si="262"/>
        <v>OFF</v>
      </c>
      <c r="C1788" t="str">
        <f t="shared" si="262"/>
        <v>OFF</v>
      </c>
      <c r="D1788" t="str">
        <f t="shared" si="262"/>
        <v>OFF</v>
      </c>
      <c r="E1788" t="str">
        <f t="shared" si="262"/>
        <v>OFF</v>
      </c>
      <c r="F1788" t="str">
        <f t="shared" si="262"/>
        <v>OFF</v>
      </c>
      <c r="G1788" t="str">
        <f t="shared" si="262"/>
        <v>OFF</v>
      </c>
    </row>
    <row r="1789" spans="1:7">
      <c r="A1789" t="s">
        <v>2675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</row>
    <row r="1790" spans="1:7">
      <c r="A1790" t="s">
        <v>2676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</row>
    <row r="1792" spans="1:7">
      <c r="B1792" t="s">
        <v>2677</v>
      </c>
      <c r="C1792">
        <v>0</v>
      </c>
      <c r="D1792">
        <v>0</v>
      </c>
      <c r="E1792">
        <v>0</v>
      </c>
    </row>
    <row r="1793" spans="1:7">
      <c r="B1793" t="s">
        <v>2678</v>
      </c>
      <c r="C1793" t="s">
        <v>2679</v>
      </c>
      <c r="D1793" t="s">
        <v>2680</v>
      </c>
      <c r="E1793" t="s">
        <v>2681</v>
      </c>
      <c r="F1793" t="s">
        <v>2682</v>
      </c>
      <c r="G1793" t="s">
        <v>2683</v>
      </c>
    </row>
    <row r="1794" spans="1:7">
      <c r="A1794" t="s">
        <v>2645</v>
      </c>
      <c r="B1794" t="str">
        <f t="shared" ref="B1794:G1795" si="263">"OFF"</f>
        <v>OFF</v>
      </c>
      <c r="C1794" t="str">
        <f t="shared" si="263"/>
        <v>OFF</v>
      </c>
      <c r="D1794" t="str">
        <f t="shared" si="263"/>
        <v>OFF</v>
      </c>
      <c r="E1794" t="str">
        <f t="shared" si="263"/>
        <v>OFF</v>
      </c>
      <c r="F1794" t="str">
        <f t="shared" si="263"/>
        <v>OFF</v>
      </c>
      <c r="G1794" t="str">
        <f t="shared" si="263"/>
        <v>OFF</v>
      </c>
    </row>
    <row r="1795" spans="1:7">
      <c r="A1795" t="s">
        <v>2646</v>
      </c>
      <c r="B1795" t="str">
        <f t="shared" si="263"/>
        <v>OFF</v>
      </c>
      <c r="C1795" t="str">
        <f t="shared" si="263"/>
        <v>OFF</v>
      </c>
      <c r="D1795" t="str">
        <f t="shared" si="263"/>
        <v>OFF</v>
      </c>
      <c r="E1795" t="str">
        <f t="shared" si="263"/>
        <v>OFF</v>
      </c>
      <c r="F1795" t="str">
        <f t="shared" si="263"/>
        <v>OFF</v>
      </c>
      <c r="G1795" t="str">
        <f t="shared" si="263"/>
        <v>OFF</v>
      </c>
    </row>
    <row r="1796" spans="1:7">
      <c r="A1796" t="s">
        <v>2647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</row>
    <row r="1797" spans="1:7">
      <c r="A1797" t="s">
        <v>2648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</row>
    <row r="1798" spans="1:7">
      <c r="A1798" t="s">
        <v>2684</v>
      </c>
      <c r="B1798" t="str">
        <f t="shared" ref="B1798:G1807" si="264">"OFF"</f>
        <v>OFF</v>
      </c>
      <c r="C1798" t="str">
        <f t="shared" si="264"/>
        <v>OFF</v>
      </c>
      <c r="D1798" t="str">
        <f t="shared" si="264"/>
        <v>OFF</v>
      </c>
      <c r="E1798" t="str">
        <f t="shared" si="264"/>
        <v>OFF</v>
      </c>
      <c r="F1798" t="str">
        <f t="shared" si="264"/>
        <v>OFF</v>
      </c>
      <c r="G1798" t="str">
        <f t="shared" si="264"/>
        <v>OFF</v>
      </c>
    </row>
    <row r="1799" spans="1:7">
      <c r="A1799" t="s">
        <v>2685</v>
      </c>
      <c r="B1799" t="str">
        <f t="shared" si="264"/>
        <v>OFF</v>
      </c>
      <c r="C1799" t="str">
        <f t="shared" si="264"/>
        <v>OFF</v>
      </c>
      <c r="D1799" t="str">
        <f t="shared" si="264"/>
        <v>OFF</v>
      </c>
      <c r="E1799" t="str">
        <f t="shared" si="264"/>
        <v>OFF</v>
      </c>
      <c r="F1799" t="str">
        <f t="shared" si="264"/>
        <v>OFF</v>
      </c>
      <c r="G1799" t="str">
        <f t="shared" si="264"/>
        <v>OFF</v>
      </c>
    </row>
    <row r="1800" spans="1:7">
      <c r="A1800" t="s">
        <v>2686</v>
      </c>
      <c r="B1800" t="str">
        <f t="shared" si="264"/>
        <v>OFF</v>
      </c>
      <c r="C1800" t="str">
        <f t="shared" si="264"/>
        <v>OFF</v>
      </c>
      <c r="D1800" t="str">
        <f t="shared" si="264"/>
        <v>OFF</v>
      </c>
      <c r="E1800" t="str">
        <f t="shared" si="264"/>
        <v>OFF</v>
      </c>
      <c r="F1800" t="str">
        <f t="shared" si="264"/>
        <v>OFF</v>
      </c>
      <c r="G1800" t="str">
        <f t="shared" si="264"/>
        <v>OFF</v>
      </c>
    </row>
    <row r="1801" spans="1:7">
      <c r="A1801" t="s">
        <v>2687</v>
      </c>
      <c r="B1801" t="str">
        <f t="shared" si="264"/>
        <v>OFF</v>
      </c>
      <c r="C1801" t="str">
        <f t="shared" si="264"/>
        <v>OFF</v>
      </c>
      <c r="D1801" t="str">
        <f t="shared" si="264"/>
        <v>OFF</v>
      </c>
      <c r="E1801" t="str">
        <f t="shared" si="264"/>
        <v>OFF</v>
      </c>
      <c r="F1801" t="str">
        <f t="shared" si="264"/>
        <v>OFF</v>
      </c>
      <c r="G1801" t="str">
        <f t="shared" si="264"/>
        <v>OFF</v>
      </c>
    </row>
    <row r="1802" spans="1:7">
      <c r="A1802" t="s">
        <v>2688</v>
      </c>
      <c r="B1802" t="str">
        <f t="shared" si="264"/>
        <v>OFF</v>
      </c>
      <c r="C1802" t="str">
        <f t="shared" si="264"/>
        <v>OFF</v>
      </c>
      <c r="D1802" t="str">
        <f t="shared" si="264"/>
        <v>OFF</v>
      </c>
      <c r="E1802" t="str">
        <f t="shared" si="264"/>
        <v>OFF</v>
      </c>
      <c r="F1802" t="str">
        <f t="shared" si="264"/>
        <v>OFF</v>
      </c>
      <c r="G1802" t="str">
        <f t="shared" si="264"/>
        <v>OFF</v>
      </c>
    </row>
    <row r="1803" spans="1:7">
      <c r="A1803" t="s">
        <v>2689</v>
      </c>
      <c r="B1803" t="str">
        <f t="shared" si="264"/>
        <v>OFF</v>
      </c>
      <c r="C1803" t="str">
        <f t="shared" si="264"/>
        <v>OFF</v>
      </c>
      <c r="D1803" t="str">
        <f t="shared" si="264"/>
        <v>OFF</v>
      </c>
      <c r="E1803" t="str">
        <f t="shared" si="264"/>
        <v>OFF</v>
      </c>
      <c r="F1803" t="str">
        <f t="shared" si="264"/>
        <v>OFF</v>
      </c>
      <c r="G1803" t="str">
        <f t="shared" si="264"/>
        <v>OFF</v>
      </c>
    </row>
    <row r="1804" spans="1:7">
      <c r="A1804" t="s">
        <v>2690</v>
      </c>
      <c r="B1804" t="str">
        <f t="shared" si="264"/>
        <v>OFF</v>
      </c>
      <c r="C1804" t="str">
        <f t="shared" si="264"/>
        <v>OFF</v>
      </c>
      <c r="D1804" t="str">
        <f t="shared" si="264"/>
        <v>OFF</v>
      </c>
      <c r="E1804" t="str">
        <f t="shared" si="264"/>
        <v>OFF</v>
      </c>
      <c r="F1804" t="str">
        <f t="shared" si="264"/>
        <v>OFF</v>
      </c>
      <c r="G1804" t="str">
        <f t="shared" si="264"/>
        <v>OFF</v>
      </c>
    </row>
    <row r="1805" spans="1:7">
      <c r="A1805" t="s">
        <v>2691</v>
      </c>
      <c r="B1805" t="str">
        <f t="shared" si="264"/>
        <v>OFF</v>
      </c>
      <c r="C1805" t="str">
        <f t="shared" si="264"/>
        <v>OFF</v>
      </c>
      <c r="D1805" t="str">
        <f t="shared" si="264"/>
        <v>OFF</v>
      </c>
      <c r="E1805" t="str">
        <f t="shared" si="264"/>
        <v>OFF</v>
      </c>
      <c r="F1805" t="str">
        <f t="shared" si="264"/>
        <v>OFF</v>
      </c>
      <c r="G1805" t="str">
        <f t="shared" si="264"/>
        <v>OFF</v>
      </c>
    </row>
    <row r="1806" spans="1:7">
      <c r="A1806" t="s">
        <v>2692</v>
      </c>
      <c r="B1806" t="str">
        <f t="shared" si="264"/>
        <v>OFF</v>
      </c>
      <c r="C1806" t="str">
        <f t="shared" si="264"/>
        <v>OFF</v>
      </c>
      <c r="D1806" t="str">
        <f t="shared" si="264"/>
        <v>OFF</v>
      </c>
      <c r="E1806" t="str">
        <f t="shared" si="264"/>
        <v>OFF</v>
      </c>
      <c r="F1806" t="str">
        <f t="shared" si="264"/>
        <v>OFF</v>
      </c>
      <c r="G1806" t="str">
        <f t="shared" si="264"/>
        <v>OFF</v>
      </c>
    </row>
    <row r="1807" spans="1:7">
      <c r="A1807" t="s">
        <v>2693</v>
      </c>
      <c r="B1807" t="str">
        <f t="shared" si="264"/>
        <v>OFF</v>
      </c>
      <c r="C1807" t="str">
        <f t="shared" si="264"/>
        <v>OFF</v>
      </c>
      <c r="D1807" t="str">
        <f t="shared" si="264"/>
        <v>OFF</v>
      </c>
      <c r="E1807" t="str">
        <f t="shared" si="264"/>
        <v>OFF</v>
      </c>
      <c r="F1807" t="str">
        <f t="shared" si="264"/>
        <v>OFF</v>
      </c>
      <c r="G1807" t="str">
        <f t="shared" si="264"/>
        <v>OFF</v>
      </c>
    </row>
    <row r="1808" spans="1:7">
      <c r="A1808" t="s">
        <v>2694</v>
      </c>
      <c r="B1808" t="str">
        <f t="shared" ref="B1808:G1817" si="265">"OFF"</f>
        <v>OFF</v>
      </c>
      <c r="C1808" t="str">
        <f t="shared" si="265"/>
        <v>OFF</v>
      </c>
      <c r="D1808" t="str">
        <f t="shared" si="265"/>
        <v>OFF</v>
      </c>
      <c r="E1808" t="str">
        <f t="shared" si="265"/>
        <v>OFF</v>
      </c>
      <c r="F1808" t="str">
        <f t="shared" si="265"/>
        <v>OFF</v>
      </c>
      <c r="G1808" t="str">
        <f t="shared" si="265"/>
        <v>OFF</v>
      </c>
    </row>
    <row r="1809" spans="1:7">
      <c r="A1809" t="s">
        <v>2695</v>
      </c>
      <c r="B1809" t="str">
        <f t="shared" si="265"/>
        <v>OFF</v>
      </c>
      <c r="C1809" t="str">
        <f t="shared" si="265"/>
        <v>OFF</v>
      </c>
      <c r="D1809" t="str">
        <f t="shared" si="265"/>
        <v>OFF</v>
      </c>
      <c r="E1809" t="str">
        <f t="shared" si="265"/>
        <v>OFF</v>
      </c>
      <c r="F1809" t="str">
        <f t="shared" si="265"/>
        <v>OFF</v>
      </c>
      <c r="G1809" t="str">
        <f t="shared" si="265"/>
        <v>OFF</v>
      </c>
    </row>
    <row r="1810" spans="1:7">
      <c r="A1810" t="s">
        <v>2696</v>
      </c>
      <c r="B1810" t="str">
        <f t="shared" si="265"/>
        <v>OFF</v>
      </c>
      <c r="C1810" t="str">
        <f t="shared" si="265"/>
        <v>OFF</v>
      </c>
      <c r="D1810" t="str">
        <f t="shared" si="265"/>
        <v>OFF</v>
      </c>
      <c r="E1810" t="str">
        <f t="shared" si="265"/>
        <v>OFF</v>
      </c>
      <c r="F1810" t="str">
        <f t="shared" si="265"/>
        <v>OFF</v>
      </c>
      <c r="G1810" t="str">
        <f t="shared" si="265"/>
        <v>OFF</v>
      </c>
    </row>
    <row r="1811" spans="1:7">
      <c r="A1811" t="s">
        <v>2697</v>
      </c>
      <c r="B1811" t="str">
        <f t="shared" si="265"/>
        <v>OFF</v>
      </c>
      <c r="C1811" t="str">
        <f t="shared" si="265"/>
        <v>OFF</v>
      </c>
      <c r="D1811" t="str">
        <f t="shared" si="265"/>
        <v>OFF</v>
      </c>
      <c r="E1811" t="str">
        <f t="shared" si="265"/>
        <v>OFF</v>
      </c>
      <c r="F1811" t="str">
        <f t="shared" si="265"/>
        <v>OFF</v>
      </c>
      <c r="G1811" t="str">
        <f t="shared" si="265"/>
        <v>OFF</v>
      </c>
    </row>
    <row r="1812" spans="1:7">
      <c r="A1812" t="s">
        <v>2698</v>
      </c>
      <c r="B1812" t="str">
        <f t="shared" si="265"/>
        <v>OFF</v>
      </c>
      <c r="C1812" t="str">
        <f t="shared" si="265"/>
        <v>OFF</v>
      </c>
      <c r="D1812" t="str">
        <f t="shared" si="265"/>
        <v>OFF</v>
      </c>
      <c r="E1812" t="str">
        <f t="shared" si="265"/>
        <v>OFF</v>
      </c>
      <c r="F1812" t="str">
        <f t="shared" si="265"/>
        <v>OFF</v>
      </c>
      <c r="G1812" t="str">
        <f t="shared" si="265"/>
        <v>OFF</v>
      </c>
    </row>
    <row r="1813" spans="1:7">
      <c r="A1813" t="s">
        <v>2699</v>
      </c>
      <c r="B1813" t="str">
        <f t="shared" si="265"/>
        <v>OFF</v>
      </c>
      <c r="C1813" t="str">
        <f t="shared" si="265"/>
        <v>OFF</v>
      </c>
      <c r="D1813" t="str">
        <f t="shared" si="265"/>
        <v>OFF</v>
      </c>
      <c r="E1813" t="str">
        <f t="shared" si="265"/>
        <v>OFF</v>
      </c>
      <c r="F1813" t="str">
        <f t="shared" si="265"/>
        <v>OFF</v>
      </c>
      <c r="G1813" t="str">
        <f t="shared" si="265"/>
        <v>OFF</v>
      </c>
    </row>
    <row r="1814" spans="1:7">
      <c r="A1814" t="s">
        <v>2700</v>
      </c>
      <c r="B1814" t="str">
        <f t="shared" si="265"/>
        <v>OFF</v>
      </c>
      <c r="C1814" t="str">
        <f t="shared" si="265"/>
        <v>OFF</v>
      </c>
      <c r="D1814" t="str">
        <f t="shared" si="265"/>
        <v>OFF</v>
      </c>
      <c r="E1814" t="str">
        <f t="shared" si="265"/>
        <v>OFF</v>
      </c>
      <c r="F1814" t="str">
        <f t="shared" si="265"/>
        <v>OFF</v>
      </c>
      <c r="G1814" t="str">
        <f t="shared" si="265"/>
        <v>OFF</v>
      </c>
    </row>
    <row r="1815" spans="1:7">
      <c r="A1815" t="s">
        <v>2701</v>
      </c>
      <c r="B1815" t="str">
        <f t="shared" si="265"/>
        <v>OFF</v>
      </c>
      <c r="C1815" t="str">
        <f t="shared" si="265"/>
        <v>OFF</v>
      </c>
      <c r="D1815" t="str">
        <f t="shared" si="265"/>
        <v>OFF</v>
      </c>
      <c r="E1815" t="str">
        <f t="shared" si="265"/>
        <v>OFF</v>
      </c>
      <c r="F1815" t="str">
        <f t="shared" si="265"/>
        <v>OFF</v>
      </c>
      <c r="G1815" t="str">
        <f t="shared" si="265"/>
        <v>OFF</v>
      </c>
    </row>
    <row r="1816" spans="1:7">
      <c r="A1816" t="s">
        <v>2702</v>
      </c>
      <c r="B1816" t="str">
        <f t="shared" si="265"/>
        <v>OFF</v>
      </c>
      <c r="C1816" t="str">
        <f t="shared" si="265"/>
        <v>OFF</v>
      </c>
      <c r="D1816" t="str">
        <f t="shared" si="265"/>
        <v>OFF</v>
      </c>
      <c r="E1816" t="str">
        <f t="shared" si="265"/>
        <v>OFF</v>
      </c>
      <c r="F1816" t="str">
        <f t="shared" si="265"/>
        <v>OFF</v>
      </c>
      <c r="G1816" t="str">
        <f t="shared" si="265"/>
        <v>OFF</v>
      </c>
    </row>
    <row r="1817" spans="1:7">
      <c r="A1817" t="s">
        <v>2703</v>
      </c>
      <c r="B1817" t="str">
        <f t="shared" si="265"/>
        <v>OFF</v>
      </c>
      <c r="C1817" t="str">
        <f t="shared" si="265"/>
        <v>OFF</v>
      </c>
      <c r="D1817" t="str">
        <f t="shared" si="265"/>
        <v>OFF</v>
      </c>
      <c r="E1817" t="str">
        <f t="shared" si="265"/>
        <v>OFF</v>
      </c>
      <c r="F1817" t="str">
        <f t="shared" si="265"/>
        <v>OFF</v>
      </c>
      <c r="G1817" t="str">
        <f t="shared" si="265"/>
        <v>OFF</v>
      </c>
    </row>
    <row r="1818" spans="1:7">
      <c r="A1818" t="s">
        <v>2704</v>
      </c>
      <c r="B1818" t="str">
        <f t="shared" ref="B1818:G1829" si="266">"OFF"</f>
        <v>OFF</v>
      </c>
      <c r="C1818" t="str">
        <f t="shared" si="266"/>
        <v>OFF</v>
      </c>
      <c r="D1818" t="str">
        <f t="shared" si="266"/>
        <v>OFF</v>
      </c>
      <c r="E1818" t="str">
        <f t="shared" si="266"/>
        <v>OFF</v>
      </c>
      <c r="F1818" t="str">
        <f t="shared" si="266"/>
        <v>OFF</v>
      </c>
      <c r="G1818" t="str">
        <f t="shared" si="266"/>
        <v>OFF</v>
      </c>
    </row>
    <row r="1819" spans="1:7">
      <c r="A1819" t="s">
        <v>2705</v>
      </c>
      <c r="B1819" t="str">
        <f t="shared" si="266"/>
        <v>OFF</v>
      </c>
      <c r="C1819" t="str">
        <f t="shared" si="266"/>
        <v>OFF</v>
      </c>
      <c r="D1819" t="str">
        <f t="shared" si="266"/>
        <v>OFF</v>
      </c>
      <c r="E1819" t="str">
        <f t="shared" si="266"/>
        <v>OFF</v>
      </c>
      <c r="F1819" t="str">
        <f t="shared" si="266"/>
        <v>OFF</v>
      </c>
      <c r="G1819" t="str">
        <f t="shared" si="266"/>
        <v>OFF</v>
      </c>
    </row>
    <row r="1820" spans="1:7">
      <c r="A1820" t="s">
        <v>2706</v>
      </c>
      <c r="B1820" t="str">
        <f t="shared" si="266"/>
        <v>OFF</v>
      </c>
      <c r="C1820" t="str">
        <f t="shared" si="266"/>
        <v>OFF</v>
      </c>
      <c r="D1820" t="str">
        <f t="shared" si="266"/>
        <v>OFF</v>
      </c>
      <c r="E1820" t="str">
        <f t="shared" si="266"/>
        <v>OFF</v>
      </c>
      <c r="F1820" t="str">
        <f t="shared" si="266"/>
        <v>OFF</v>
      </c>
      <c r="G1820" t="str">
        <f t="shared" si="266"/>
        <v>OFF</v>
      </c>
    </row>
    <row r="1821" spans="1:7">
      <c r="A1821" t="s">
        <v>2707</v>
      </c>
      <c r="B1821" t="str">
        <f t="shared" si="266"/>
        <v>OFF</v>
      </c>
      <c r="C1821" t="str">
        <f t="shared" si="266"/>
        <v>OFF</v>
      </c>
      <c r="D1821" t="str">
        <f t="shared" si="266"/>
        <v>OFF</v>
      </c>
      <c r="E1821" t="str">
        <f t="shared" si="266"/>
        <v>OFF</v>
      </c>
      <c r="F1821" t="str">
        <f t="shared" si="266"/>
        <v>OFF</v>
      </c>
      <c r="G1821" t="str">
        <f t="shared" si="266"/>
        <v>OFF</v>
      </c>
    </row>
    <row r="1822" spans="1:7">
      <c r="A1822" t="s">
        <v>2708</v>
      </c>
      <c r="B1822" t="str">
        <f t="shared" si="266"/>
        <v>OFF</v>
      </c>
      <c r="C1822" t="str">
        <f t="shared" si="266"/>
        <v>OFF</v>
      </c>
      <c r="D1822" t="str">
        <f t="shared" si="266"/>
        <v>OFF</v>
      </c>
      <c r="E1822" t="str">
        <f t="shared" si="266"/>
        <v>OFF</v>
      </c>
      <c r="F1822" t="str">
        <f t="shared" si="266"/>
        <v>OFF</v>
      </c>
      <c r="G1822" t="str">
        <f t="shared" si="266"/>
        <v>OFF</v>
      </c>
    </row>
    <row r="1823" spans="1:7">
      <c r="A1823" t="s">
        <v>2709</v>
      </c>
      <c r="B1823" t="str">
        <f t="shared" si="266"/>
        <v>OFF</v>
      </c>
      <c r="C1823" t="str">
        <f t="shared" si="266"/>
        <v>OFF</v>
      </c>
      <c r="D1823" t="str">
        <f t="shared" si="266"/>
        <v>OFF</v>
      </c>
      <c r="E1823" t="str">
        <f t="shared" si="266"/>
        <v>OFF</v>
      </c>
      <c r="F1823" t="str">
        <f t="shared" si="266"/>
        <v>OFF</v>
      </c>
      <c r="G1823" t="str">
        <f t="shared" si="266"/>
        <v>OFF</v>
      </c>
    </row>
    <row r="1824" spans="1:7">
      <c r="A1824" t="s">
        <v>2710</v>
      </c>
      <c r="B1824" t="str">
        <f t="shared" si="266"/>
        <v>OFF</v>
      </c>
      <c r="C1824" t="str">
        <f t="shared" si="266"/>
        <v>OFF</v>
      </c>
      <c r="D1824" t="str">
        <f t="shared" si="266"/>
        <v>OFF</v>
      </c>
      <c r="E1824" t="str">
        <f t="shared" si="266"/>
        <v>OFF</v>
      </c>
      <c r="F1824" t="str">
        <f t="shared" si="266"/>
        <v>OFF</v>
      </c>
      <c r="G1824" t="str">
        <f t="shared" si="266"/>
        <v>OFF</v>
      </c>
    </row>
    <row r="1825" spans="1:7">
      <c r="A1825" t="s">
        <v>2711</v>
      </c>
      <c r="B1825" t="str">
        <f t="shared" si="266"/>
        <v>OFF</v>
      </c>
      <c r="C1825" t="str">
        <f t="shared" si="266"/>
        <v>OFF</v>
      </c>
      <c r="D1825" t="str">
        <f t="shared" si="266"/>
        <v>OFF</v>
      </c>
      <c r="E1825" t="str">
        <f t="shared" si="266"/>
        <v>OFF</v>
      </c>
      <c r="F1825" t="str">
        <f t="shared" si="266"/>
        <v>OFF</v>
      </c>
      <c r="G1825" t="str">
        <f t="shared" si="266"/>
        <v>OFF</v>
      </c>
    </row>
    <row r="1826" spans="1:7">
      <c r="A1826" t="s">
        <v>2712</v>
      </c>
      <c r="B1826" t="str">
        <f t="shared" si="266"/>
        <v>OFF</v>
      </c>
      <c r="C1826" t="str">
        <f t="shared" si="266"/>
        <v>OFF</v>
      </c>
      <c r="D1826" t="str">
        <f t="shared" si="266"/>
        <v>OFF</v>
      </c>
      <c r="E1826" t="str">
        <f t="shared" si="266"/>
        <v>OFF</v>
      </c>
      <c r="F1826" t="str">
        <f t="shared" si="266"/>
        <v>OFF</v>
      </c>
      <c r="G1826" t="str">
        <f t="shared" si="266"/>
        <v>OFF</v>
      </c>
    </row>
    <row r="1827" spans="1:7">
      <c r="A1827" t="s">
        <v>2713</v>
      </c>
      <c r="B1827" t="str">
        <f t="shared" si="266"/>
        <v>OFF</v>
      </c>
      <c r="C1827" t="str">
        <f t="shared" si="266"/>
        <v>OFF</v>
      </c>
      <c r="D1827" t="str">
        <f t="shared" si="266"/>
        <v>OFF</v>
      </c>
      <c r="E1827" t="str">
        <f t="shared" si="266"/>
        <v>OFF</v>
      </c>
      <c r="F1827" t="str">
        <f t="shared" si="266"/>
        <v>OFF</v>
      </c>
      <c r="G1827" t="str">
        <f t="shared" si="266"/>
        <v>OFF</v>
      </c>
    </row>
    <row r="1828" spans="1:7">
      <c r="A1828" t="s">
        <v>2714</v>
      </c>
      <c r="B1828" t="str">
        <f t="shared" si="266"/>
        <v>OFF</v>
      </c>
      <c r="C1828" t="str">
        <f t="shared" si="266"/>
        <v>OFF</v>
      </c>
      <c r="D1828" t="str">
        <f t="shared" si="266"/>
        <v>OFF</v>
      </c>
      <c r="E1828" t="str">
        <f t="shared" si="266"/>
        <v>OFF</v>
      </c>
      <c r="F1828" t="str">
        <f t="shared" si="266"/>
        <v>OFF</v>
      </c>
      <c r="G1828" t="str">
        <f t="shared" si="266"/>
        <v>OFF</v>
      </c>
    </row>
    <row r="1829" spans="1:7">
      <c r="A1829" t="s">
        <v>2715</v>
      </c>
      <c r="B1829" t="str">
        <f t="shared" si="266"/>
        <v>OFF</v>
      </c>
      <c r="C1829" t="str">
        <f t="shared" si="266"/>
        <v>OFF</v>
      </c>
      <c r="D1829" t="str">
        <f t="shared" si="266"/>
        <v>OFF</v>
      </c>
      <c r="E1829" t="str">
        <f t="shared" si="266"/>
        <v>OFF</v>
      </c>
      <c r="F1829" t="str">
        <f t="shared" si="266"/>
        <v>OFF</v>
      </c>
      <c r="G1829" t="str">
        <f t="shared" si="266"/>
        <v>OFF</v>
      </c>
    </row>
    <row r="1830" spans="1:7">
      <c r="A1830" t="s">
        <v>2649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</row>
    <row r="1831" spans="1:7">
      <c r="A1831" t="s">
        <v>2650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</row>
    <row r="1832" spans="1:7">
      <c r="A1832" t="s">
        <v>2651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</row>
    <row r="1833" spans="1:7">
      <c r="A1833" t="s">
        <v>2652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</row>
    <row r="1834" spans="1:7">
      <c r="A1834" t="s">
        <v>2653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</row>
    <row r="1835" spans="1:7">
      <c r="A1835" t="s">
        <v>2654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</row>
    <row r="1836" spans="1:7">
      <c r="A1836" t="s">
        <v>2655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</row>
    <row r="1837" spans="1:7">
      <c r="A1837" t="s">
        <v>2656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</row>
    <row r="1838" spans="1:7">
      <c r="A1838" t="s">
        <v>2657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</row>
    <row r="1839" spans="1:7">
      <c r="A1839" t="s">
        <v>2658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</row>
    <row r="1840" spans="1:7">
      <c r="A1840" t="s">
        <v>2659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</row>
    <row r="1841" spans="1:7">
      <c r="A1841" t="s">
        <v>2660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</row>
    <row r="1842" spans="1:7">
      <c r="A1842" t="s">
        <v>2661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</row>
    <row r="1843" spans="1:7">
      <c r="A1843" t="s">
        <v>2662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</row>
    <row r="1844" spans="1:7">
      <c r="A1844" t="s">
        <v>2663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</row>
    <row r="1845" spans="1:7">
      <c r="A1845" t="s">
        <v>2664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</row>
    <row r="1846" spans="1:7">
      <c r="A1846" t="s">
        <v>2716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</row>
    <row r="1847" spans="1:7">
      <c r="A1847" t="s">
        <v>2717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</row>
    <row r="1848" spans="1:7">
      <c r="A1848" t="s">
        <v>2718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</row>
    <row r="1849" spans="1:7">
      <c r="A1849" t="s">
        <v>2719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</row>
    <row r="1850" spans="1:7">
      <c r="A1850" t="s">
        <v>2665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</row>
    <row r="1851" spans="1:7">
      <c r="A1851" t="s">
        <v>2666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</row>
    <row r="1852" spans="1:7">
      <c r="A1852" t="s">
        <v>2667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0</v>
      </c>
    </row>
    <row r="1853" spans="1:7">
      <c r="A1853" t="s">
        <v>2668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</row>
    <row r="1854" spans="1:7">
      <c r="A1854" t="s">
        <v>2673</v>
      </c>
      <c r="B1854" t="str">
        <f t="shared" ref="B1854:G1855" si="267">"OFF"</f>
        <v>OFF</v>
      </c>
      <c r="C1854" t="str">
        <f t="shared" si="267"/>
        <v>OFF</v>
      </c>
      <c r="D1854" t="str">
        <f t="shared" si="267"/>
        <v>OFF</v>
      </c>
      <c r="E1854" t="str">
        <f t="shared" si="267"/>
        <v>OFF</v>
      </c>
      <c r="F1854" t="str">
        <f t="shared" si="267"/>
        <v>OFF</v>
      </c>
      <c r="G1854" t="str">
        <f t="shared" si="267"/>
        <v>OFF</v>
      </c>
    </row>
    <row r="1855" spans="1:7">
      <c r="A1855" t="s">
        <v>2674</v>
      </c>
      <c r="B1855" t="str">
        <f t="shared" si="267"/>
        <v>OFF</v>
      </c>
      <c r="C1855" t="str">
        <f t="shared" si="267"/>
        <v>OFF</v>
      </c>
      <c r="D1855" t="str">
        <f t="shared" si="267"/>
        <v>OFF</v>
      </c>
      <c r="E1855" t="str">
        <f t="shared" si="267"/>
        <v>OFF</v>
      </c>
      <c r="F1855" t="str">
        <f t="shared" si="267"/>
        <v>OFF</v>
      </c>
      <c r="G1855" t="str">
        <f t="shared" si="267"/>
        <v>OFF</v>
      </c>
    </row>
    <row r="1856" spans="1:7">
      <c r="A1856" t="s">
        <v>2675</v>
      </c>
      <c r="B1856">
        <v>0</v>
      </c>
      <c r="C1856">
        <v>0</v>
      </c>
      <c r="D1856">
        <v>0</v>
      </c>
      <c r="E1856">
        <v>0</v>
      </c>
      <c r="F1856">
        <v>0</v>
      </c>
      <c r="G1856">
        <v>0</v>
      </c>
    </row>
    <row r="1857" spans="1:7">
      <c r="A1857" t="s">
        <v>2676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</row>
    <row r="1859" spans="1:7">
      <c r="B1859" t="s">
        <v>2720</v>
      </c>
      <c r="C1859">
        <v>16</v>
      </c>
      <c r="D1859">
        <v>4</v>
      </c>
      <c r="E1859">
        <v>1</v>
      </c>
    </row>
    <row r="1860" spans="1:7">
      <c r="B1860" t="s">
        <v>2573</v>
      </c>
      <c r="C1860" t="s">
        <v>2574</v>
      </c>
      <c r="D1860" t="s">
        <v>2575</v>
      </c>
      <c r="E1860" t="s">
        <v>2576</v>
      </c>
    </row>
    <row r="1861" spans="1:7">
      <c r="A1861" t="s">
        <v>2721</v>
      </c>
      <c r="B1861">
        <v>0</v>
      </c>
      <c r="C1861">
        <v>0</v>
      </c>
      <c r="D1861">
        <v>0</v>
      </c>
      <c r="E1861">
        <v>0</v>
      </c>
    </row>
    <row r="1862" spans="1:7">
      <c r="A1862" t="s">
        <v>2722</v>
      </c>
      <c r="B1862" t="str">
        <f>"OFF"</f>
        <v>OFF</v>
      </c>
      <c r="C1862" t="str">
        <f>"OFF"</f>
        <v>OFF</v>
      </c>
      <c r="D1862" t="str">
        <f>"OFF"</f>
        <v>OFF</v>
      </c>
      <c r="E1862" t="str">
        <f>"OFF"</f>
        <v>OFF</v>
      </c>
    </row>
    <row r="1863" spans="1:7">
      <c r="A1863" t="s">
        <v>112</v>
      </c>
      <c r="B1863" t="str">
        <f>"TRANS"</f>
        <v>TRANS</v>
      </c>
      <c r="C1863" t="str">
        <f>"OFF"</f>
        <v>OFF</v>
      </c>
      <c r="D1863" t="str">
        <f>"TRANS"</f>
        <v>TRANS</v>
      </c>
      <c r="E1863" t="str">
        <f>"OFF"</f>
        <v>OFF</v>
      </c>
    </row>
    <row r="1864" spans="1:7">
      <c r="A1864" t="s">
        <v>2723</v>
      </c>
      <c r="B1864" t="str">
        <f t="shared" ref="B1864:E1865" si="268">"ON"</f>
        <v>ON</v>
      </c>
      <c r="C1864" t="str">
        <f t="shared" si="268"/>
        <v>ON</v>
      </c>
      <c r="D1864" t="str">
        <f t="shared" si="268"/>
        <v>ON</v>
      </c>
      <c r="E1864" t="str">
        <f t="shared" si="268"/>
        <v>ON</v>
      </c>
    </row>
    <row r="1865" spans="1:7">
      <c r="A1865" t="s">
        <v>2724</v>
      </c>
      <c r="B1865" t="str">
        <f t="shared" si="268"/>
        <v>ON</v>
      </c>
      <c r="C1865" t="str">
        <f t="shared" si="268"/>
        <v>ON</v>
      </c>
      <c r="D1865" t="str">
        <f t="shared" si="268"/>
        <v>ON</v>
      </c>
      <c r="E1865" t="str">
        <f t="shared" si="268"/>
        <v>ON</v>
      </c>
    </row>
    <row r="1866" spans="1:7">
      <c r="A1866" t="s">
        <v>2725</v>
      </c>
      <c r="B1866">
        <v>0</v>
      </c>
      <c r="C1866">
        <v>0</v>
      </c>
      <c r="D1866">
        <v>0</v>
      </c>
      <c r="E1866">
        <v>0</v>
      </c>
    </row>
    <row r="1867" spans="1:7">
      <c r="A1867" t="s">
        <v>259</v>
      </c>
      <c r="B1867">
        <v>0</v>
      </c>
      <c r="C1867">
        <v>0</v>
      </c>
      <c r="D1867">
        <v>0</v>
      </c>
      <c r="E1867">
        <v>0</v>
      </c>
    </row>
    <row r="1868" spans="1:7">
      <c r="A1868" t="s">
        <v>2726</v>
      </c>
      <c r="B1868" t="str">
        <f>"MAX"</f>
        <v>MAX</v>
      </c>
      <c r="C1868" t="str">
        <f>"MAX"</f>
        <v>MAX</v>
      </c>
      <c r="D1868" t="str">
        <f>"MAX"</f>
        <v>MAX</v>
      </c>
      <c r="E1868" t="str">
        <f>"MAX"</f>
        <v>MAX</v>
      </c>
    </row>
    <row r="1869" spans="1:7">
      <c r="A1869" t="s">
        <v>23</v>
      </c>
      <c r="B1869">
        <v>0</v>
      </c>
      <c r="C1869">
        <v>0</v>
      </c>
      <c r="D1869">
        <v>0</v>
      </c>
      <c r="E1869">
        <v>0</v>
      </c>
    </row>
    <row r="1870" spans="1:7">
      <c r="A1870" t="s">
        <v>58</v>
      </c>
      <c r="B1870">
        <v>0</v>
      </c>
      <c r="C1870">
        <v>0</v>
      </c>
      <c r="D1870">
        <v>0</v>
      </c>
      <c r="E1870">
        <v>0</v>
      </c>
    </row>
    <row r="1871" spans="1:7">
      <c r="A1871" t="s">
        <v>2727</v>
      </c>
      <c r="B1871" t="str">
        <f>"OFF"</f>
        <v>OFF</v>
      </c>
      <c r="C1871" t="str">
        <f>"OFF"</f>
        <v>OFF</v>
      </c>
      <c r="D1871" t="str">
        <f>"OFF"</f>
        <v>OFF</v>
      </c>
      <c r="E1871" t="str">
        <f>"OFF"</f>
        <v>OFF</v>
      </c>
    </row>
    <row r="1872" spans="1:7">
      <c r="A1872" t="s">
        <v>2728</v>
      </c>
      <c r="B1872">
        <v>0</v>
      </c>
      <c r="C1872">
        <v>0</v>
      </c>
      <c r="D1872">
        <v>0</v>
      </c>
      <c r="E1872">
        <v>0</v>
      </c>
    </row>
    <row r="1873" spans="1:5">
      <c r="A1873" t="s">
        <v>2729</v>
      </c>
      <c r="B1873">
        <v>0</v>
      </c>
      <c r="C1873">
        <v>0</v>
      </c>
      <c r="D1873">
        <v>0</v>
      </c>
      <c r="E1873">
        <v>0</v>
      </c>
    </row>
    <row r="1874" spans="1:5">
      <c r="A1874" t="s">
        <v>2730</v>
      </c>
      <c r="B1874">
        <v>0</v>
      </c>
      <c r="C1874">
        <v>0</v>
      </c>
      <c r="D1874">
        <v>0</v>
      </c>
      <c r="E1874">
        <v>0</v>
      </c>
    </row>
    <row r="1875" spans="1:5">
      <c r="A1875" t="s">
        <v>2731</v>
      </c>
      <c r="B1875">
        <v>0</v>
      </c>
      <c r="C1875">
        <v>0</v>
      </c>
      <c r="D1875">
        <v>0</v>
      </c>
      <c r="E1875">
        <v>0</v>
      </c>
    </row>
    <row r="1876" spans="1:5">
      <c r="A1876" t="s">
        <v>2732</v>
      </c>
      <c r="B1876" t="str">
        <f>"OFF"</f>
        <v>OFF</v>
      </c>
      <c r="C1876" t="str">
        <f>"OFF"</f>
        <v>OFF</v>
      </c>
      <c r="D1876" t="str">
        <f>"OFF"</f>
        <v>OFF</v>
      </c>
      <c r="E1876" t="str">
        <f>"OFF"</f>
        <v>OFF</v>
      </c>
    </row>
    <row r="1878" spans="1:5">
      <c r="B1878" t="s">
        <v>2733</v>
      </c>
      <c r="C1878">
        <v>0</v>
      </c>
      <c r="D1878">
        <v>0</v>
      </c>
      <c r="E1878">
        <v>0</v>
      </c>
    </row>
    <row r="1879" spans="1:5">
      <c r="B1879" t="s">
        <v>1508</v>
      </c>
    </row>
    <row r="1880" spans="1:5">
      <c r="A1880" t="s">
        <v>2734</v>
      </c>
      <c r="B1880" t="str">
        <f>"ALARM"</f>
        <v>ALARM</v>
      </c>
    </row>
    <row r="1881" spans="1:5">
      <c r="A1881" t="s">
        <v>2735</v>
      </c>
      <c r="B1881" t="str">
        <f>"OFF"</f>
        <v>OFF</v>
      </c>
    </row>
    <row r="1882" spans="1:5">
      <c r="A1882" t="s">
        <v>2736</v>
      </c>
      <c r="B1882" t="str">
        <f>"OFF"</f>
        <v>OFF</v>
      </c>
    </row>
    <row r="1883" spans="1:5">
      <c r="A1883" t="s">
        <v>2737</v>
      </c>
      <c r="B1883" t="str">
        <f>"3-6"</f>
        <v>3-6</v>
      </c>
    </row>
    <row r="1884" spans="1:5">
      <c r="A1884" t="s">
        <v>2738</v>
      </c>
      <c r="B1884">
        <v>0</v>
      </c>
    </row>
    <row r="1885" spans="1:5">
      <c r="A1885" t="s">
        <v>131</v>
      </c>
      <c r="B1885">
        <v>0</v>
      </c>
    </row>
    <row r="1886" spans="1:5">
      <c r="A1886" t="s">
        <v>132</v>
      </c>
      <c r="B1886">
        <v>0</v>
      </c>
    </row>
    <row r="1888" spans="1:5">
      <c r="B1888" t="s">
        <v>2739</v>
      </c>
      <c r="C1888">
        <v>0</v>
      </c>
      <c r="D1888">
        <v>0</v>
      </c>
      <c r="E1888">
        <v>0</v>
      </c>
    </row>
    <row r="1889" spans="1:7">
      <c r="B1889" t="s">
        <v>2740</v>
      </c>
      <c r="C1889" t="s">
        <v>2741</v>
      </c>
      <c r="D1889" t="s">
        <v>2742</v>
      </c>
      <c r="E1889" t="s">
        <v>2743</v>
      </c>
      <c r="F1889" t="s">
        <v>2744</v>
      </c>
      <c r="G1889" t="s">
        <v>2745</v>
      </c>
    </row>
    <row r="1890" spans="1:7">
      <c r="A1890" t="s">
        <v>2722</v>
      </c>
      <c r="B1890" t="str">
        <f t="shared" ref="B1890:G1890" si="269">"OFF"</f>
        <v>OFF</v>
      </c>
      <c r="C1890" t="str">
        <f t="shared" si="269"/>
        <v>OFF</v>
      </c>
      <c r="D1890" t="str">
        <f t="shared" si="269"/>
        <v>OFF</v>
      </c>
      <c r="E1890" t="str">
        <f t="shared" si="269"/>
        <v>OFF</v>
      </c>
      <c r="F1890" t="str">
        <f t="shared" si="269"/>
        <v>OFF</v>
      </c>
      <c r="G1890" t="str">
        <f t="shared" si="269"/>
        <v>OFF</v>
      </c>
    </row>
    <row r="1891" spans="1:7">
      <c r="A1891" t="s">
        <v>2746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</row>
    <row r="1892" spans="1:7">
      <c r="A1892" t="s">
        <v>2747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</row>
    <row r="1893" spans="1:7">
      <c r="A1893" t="s">
        <v>2748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0</v>
      </c>
    </row>
    <row r="1894" spans="1:7">
      <c r="A1894" t="s">
        <v>2749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0</v>
      </c>
    </row>
    <row r="1895" spans="1:7">
      <c r="A1895" t="s">
        <v>2750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</row>
    <row r="1896" spans="1:7">
      <c r="A1896" t="s">
        <v>2751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</row>
    <row r="1897" spans="1:7">
      <c r="A1897" t="s">
        <v>2752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</row>
    <row r="1898" spans="1:7">
      <c r="A1898" t="s">
        <v>2753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</row>
    <row r="1899" spans="1:7">
      <c r="A1899" t="s">
        <v>2754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</row>
    <row r="1900" spans="1:7">
      <c r="A1900" t="s">
        <v>2755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</row>
    <row r="1901" spans="1:7">
      <c r="A1901" t="s">
        <v>2756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</row>
    <row r="1902" spans="1:7">
      <c r="A1902" t="s">
        <v>2757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</row>
    <row r="1903" spans="1:7">
      <c r="A1903" t="s">
        <v>112</v>
      </c>
      <c r="B1903" t="str">
        <f>"OFF"</f>
        <v>OFF</v>
      </c>
      <c r="C1903" t="str">
        <f>"OFF"</f>
        <v>OFF</v>
      </c>
      <c r="D1903" t="str">
        <f>"ON"</f>
        <v>ON</v>
      </c>
      <c r="E1903" t="str">
        <f>"ON"</f>
        <v>ON</v>
      </c>
      <c r="F1903" t="str">
        <f>"ON"</f>
        <v>ON</v>
      </c>
      <c r="G1903" t="str">
        <f>"ON"</f>
        <v>ON</v>
      </c>
    </row>
    <row r="1904" spans="1:7">
      <c r="A1904" t="s">
        <v>2758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</row>
    <row r="1905" spans="1:7">
      <c r="A1905" t="s">
        <v>2759</v>
      </c>
      <c r="B1905" t="str">
        <f t="shared" ref="B1905:G1905" si="270">"TS2"</f>
        <v>TS2</v>
      </c>
      <c r="C1905" t="str">
        <f t="shared" si="270"/>
        <v>TS2</v>
      </c>
      <c r="D1905" t="str">
        <f t="shared" si="270"/>
        <v>TS2</v>
      </c>
      <c r="E1905" t="str">
        <f t="shared" si="270"/>
        <v>TS2</v>
      </c>
      <c r="F1905" t="str">
        <f t="shared" si="270"/>
        <v>TS2</v>
      </c>
      <c r="G1905" t="str">
        <f t="shared" si="270"/>
        <v>TS2</v>
      </c>
    </row>
    <row r="1906" spans="1:7">
      <c r="A1906" t="s">
        <v>9</v>
      </c>
      <c r="B1906">
        <v>0</v>
      </c>
      <c r="C1906">
        <v>0</v>
      </c>
      <c r="D1906">
        <v>0</v>
      </c>
      <c r="E1906">
        <v>0</v>
      </c>
      <c r="F1906">
        <v>0</v>
      </c>
      <c r="G1906">
        <v>0</v>
      </c>
    </row>
    <row r="1907" spans="1:7">
      <c r="A1907" t="s">
        <v>2478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</row>
    <row r="1908" spans="1:7">
      <c r="A1908" t="s">
        <v>52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0</v>
      </c>
    </row>
    <row r="1909" spans="1:7">
      <c r="A1909" t="s">
        <v>256</v>
      </c>
      <c r="B1909">
        <v>0</v>
      </c>
      <c r="C1909">
        <v>0</v>
      </c>
      <c r="D1909">
        <v>20</v>
      </c>
      <c r="E1909">
        <v>20</v>
      </c>
      <c r="F1909">
        <v>20</v>
      </c>
      <c r="G1909">
        <v>20</v>
      </c>
    </row>
    <row r="1910" spans="1:7">
      <c r="A1910" t="s">
        <v>2760</v>
      </c>
      <c r="B1910" t="str">
        <f t="shared" ref="B1910:G1910" si="271">"MAX"</f>
        <v>MAX</v>
      </c>
      <c r="C1910" t="str">
        <f t="shared" si="271"/>
        <v>MAX</v>
      </c>
      <c r="D1910" t="str">
        <f t="shared" si="271"/>
        <v>MAX</v>
      </c>
      <c r="E1910" t="str">
        <f t="shared" si="271"/>
        <v>MAX</v>
      </c>
      <c r="F1910" t="str">
        <f t="shared" si="271"/>
        <v>MAX</v>
      </c>
      <c r="G1910" t="str">
        <f t="shared" si="271"/>
        <v>MAX</v>
      </c>
    </row>
    <row r="1911" spans="1:7">
      <c r="A1911" t="s">
        <v>2761</v>
      </c>
      <c r="B1911" t="str">
        <f t="shared" ref="B1911:G1911" si="272">"OFF"</f>
        <v>OFF</v>
      </c>
      <c r="C1911" t="str">
        <f t="shared" si="272"/>
        <v>OFF</v>
      </c>
      <c r="D1911" t="str">
        <f t="shared" si="272"/>
        <v>OFF</v>
      </c>
      <c r="E1911" t="str">
        <f t="shared" si="272"/>
        <v>OFF</v>
      </c>
      <c r="F1911" t="str">
        <f t="shared" si="272"/>
        <v>OFF</v>
      </c>
      <c r="G1911" t="str">
        <f t="shared" si="272"/>
        <v>OFF</v>
      </c>
    </row>
    <row r="1912" spans="1:7">
      <c r="A1912" t="s">
        <v>2762</v>
      </c>
      <c r="B1912">
        <v>0</v>
      </c>
      <c r="C1912">
        <v>0</v>
      </c>
      <c r="D1912">
        <v>0</v>
      </c>
      <c r="E1912">
        <v>0</v>
      </c>
      <c r="F1912">
        <v>0</v>
      </c>
      <c r="G1912">
        <v>0</v>
      </c>
    </row>
    <row r="1913" spans="1:7">
      <c r="A1913" t="s">
        <v>2763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</row>
    <row r="1914" spans="1:7">
      <c r="A1914" t="s">
        <v>2764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0</v>
      </c>
    </row>
    <row r="1915" spans="1:7">
      <c r="A1915" t="s">
        <v>2765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</row>
    <row r="1916" spans="1:7">
      <c r="A1916" t="s">
        <v>2766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0</v>
      </c>
    </row>
    <row r="1917" spans="1:7">
      <c r="A1917" t="s">
        <v>2767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</row>
    <row r="1918" spans="1:7">
      <c r="A1918" t="s">
        <v>2768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</row>
    <row r="1919" spans="1:7">
      <c r="A1919" t="s">
        <v>2769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</row>
    <row r="1920" spans="1:7">
      <c r="A1920" t="s">
        <v>2770</v>
      </c>
      <c r="B1920">
        <v>0</v>
      </c>
      <c r="C1920">
        <v>0</v>
      </c>
      <c r="D1920">
        <v>0</v>
      </c>
      <c r="E1920">
        <v>0</v>
      </c>
      <c r="F1920">
        <v>0</v>
      </c>
      <c r="G1920">
        <v>0</v>
      </c>
    </row>
    <row r="1921" spans="1:7">
      <c r="A1921" t="s">
        <v>2771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</row>
    <row r="1922" spans="1:7">
      <c r="A1922" t="s">
        <v>2772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</row>
    <row r="1923" spans="1:7">
      <c r="A1923" t="s">
        <v>2773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</row>
    <row r="1924" spans="1:7">
      <c r="A1924" t="s">
        <v>49</v>
      </c>
      <c r="B1924" t="str">
        <f>"RAIL"</f>
        <v>RAIL</v>
      </c>
      <c r="C1924" t="str">
        <f>"RAIL"</f>
        <v>RAIL</v>
      </c>
      <c r="D1924" t="str">
        <f>"EMERG"</f>
        <v>EMERG</v>
      </c>
      <c r="E1924" t="str">
        <f>"EMERG"</f>
        <v>EMERG</v>
      </c>
      <c r="F1924" t="str">
        <f>"EMERG"</f>
        <v>EMERG</v>
      </c>
      <c r="G1924" t="str">
        <f>"EMERG"</f>
        <v>EMERG</v>
      </c>
    </row>
    <row r="1925" spans="1:7">
      <c r="A1925" t="s">
        <v>2774</v>
      </c>
      <c r="B1925" t="str">
        <f t="shared" ref="B1925:G1925" si="273">"OFF"</f>
        <v>OFF</v>
      </c>
      <c r="C1925" t="str">
        <f t="shared" si="273"/>
        <v>OFF</v>
      </c>
      <c r="D1925" t="str">
        <f t="shared" si="273"/>
        <v>OFF</v>
      </c>
      <c r="E1925" t="str">
        <f t="shared" si="273"/>
        <v>OFF</v>
      </c>
      <c r="F1925" t="str">
        <f t="shared" si="273"/>
        <v>OFF</v>
      </c>
      <c r="G1925" t="str">
        <f t="shared" si="273"/>
        <v>OFF</v>
      </c>
    </row>
    <row r="1926" spans="1:7">
      <c r="A1926" t="s">
        <v>1506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</row>
    <row r="1928" spans="1:7">
      <c r="B1928" t="s">
        <v>2775</v>
      </c>
      <c r="C1928">
        <v>38</v>
      </c>
      <c r="D1928">
        <v>6</v>
      </c>
      <c r="E1928">
        <v>1</v>
      </c>
    </row>
    <row r="1929" spans="1:7">
      <c r="B1929" t="s">
        <v>2776</v>
      </c>
      <c r="C1929" t="s">
        <v>2777</v>
      </c>
      <c r="D1929" t="s">
        <v>2778</v>
      </c>
      <c r="E1929" t="s">
        <v>2779</v>
      </c>
      <c r="F1929" t="s">
        <v>2780</v>
      </c>
      <c r="G1929" t="s">
        <v>2781</v>
      </c>
    </row>
    <row r="1930" spans="1:7">
      <c r="A1930" t="s">
        <v>2722</v>
      </c>
      <c r="B1930" t="str">
        <f t="shared" ref="B1930:G1930" si="274">"OFF"</f>
        <v>OFF</v>
      </c>
      <c r="C1930" t="str">
        <f t="shared" si="274"/>
        <v>OFF</v>
      </c>
      <c r="D1930" t="str">
        <f t="shared" si="274"/>
        <v>OFF</v>
      </c>
      <c r="E1930" t="str">
        <f t="shared" si="274"/>
        <v>OFF</v>
      </c>
      <c r="F1930" t="str">
        <f t="shared" si="274"/>
        <v>OFF</v>
      </c>
      <c r="G1930" t="str">
        <f t="shared" si="274"/>
        <v>OFF</v>
      </c>
    </row>
    <row r="1931" spans="1:7">
      <c r="A1931" t="s">
        <v>2746</v>
      </c>
      <c r="B1931">
        <v>0</v>
      </c>
      <c r="C1931">
        <v>0</v>
      </c>
      <c r="D1931">
        <v>0</v>
      </c>
      <c r="E1931">
        <v>0</v>
      </c>
      <c r="F1931">
        <v>0</v>
      </c>
      <c r="G1931">
        <v>0</v>
      </c>
    </row>
    <row r="1932" spans="1:7">
      <c r="A1932" t="s">
        <v>2747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</row>
    <row r="1933" spans="1:7">
      <c r="A1933" t="s">
        <v>2748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</row>
    <row r="1934" spans="1:7">
      <c r="A1934" t="s">
        <v>2749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</row>
    <row r="1935" spans="1:7">
      <c r="A1935" t="s">
        <v>2750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</row>
    <row r="1936" spans="1:7">
      <c r="A1936" t="s">
        <v>2751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</row>
    <row r="1937" spans="1:7">
      <c r="A1937" t="s">
        <v>2752</v>
      </c>
      <c r="B1937">
        <v>0</v>
      </c>
      <c r="C1937">
        <v>0</v>
      </c>
      <c r="D1937">
        <v>0</v>
      </c>
      <c r="E1937">
        <v>0</v>
      </c>
      <c r="F1937">
        <v>0</v>
      </c>
      <c r="G1937">
        <v>0</v>
      </c>
    </row>
    <row r="1938" spans="1:7">
      <c r="A1938" t="s">
        <v>2753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</row>
    <row r="1939" spans="1:7">
      <c r="A1939" t="s">
        <v>2754</v>
      </c>
      <c r="B1939">
        <v>0</v>
      </c>
      <c r="C1939">
        <v>0</v>
      </c>
      <c r="D1939">
        <v>0</v>
      </c>
      <c r="E1939">
        <v>0</v>
      </c>
      <c r="F1939">
        <v>0</v>
      </c>
      <c r="G1939">
        <v>0</v>
      </c>
    </row>
    <row r="1940" spans="1:7">
      <c r="A1940" t="s">
        <v>2755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</row>
    <row r="1941" spans="1:7">
      <c r="A1941" t="s">
        <v>2756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</row>
    <row r="1942" spans="1:7">
      <c r="A1942" t="s">
        <v>2757</v>
      </c>
      <c r="B1942">
        <v>0</v>
      </c>
      <c r="C1942">
        <v>0</v>
      </c>
      <c r="D1942">
        <v>0</v>
      </c>
      <c r="E1942">
        <v>0</v>
      </c>
      <c r="F1942">
        <v>0</v>
      </c>
      <c r="G1942">
        <v>0</v>
      </c>
    </row>
    <row r="1943" spans="1:7">
      <c r="A1943" t="s">
        <v>112</v>
      </c>
      <c r="B1943" t="str">
        <f t="shared" ref="B1943:G1943" si="275">"OFF"</f>
        <v>OFF</v>
      </c>
      <c r="C1943" t="str">
        <f t="shared" si="275"/>
        <v>OFF</v>
      </c>
      <c r="D1943" t="str">
        <f t="shared" si="275"/>
        <v>OFF</v>
      </c>
      <c r="E1943" t="str">
        <f t="shared" si="275"/>
        <v>OFF</v>
      </c>
      <c r="F1943" t="str">
        <f t="shared" si="275"/>
        <v>OFF</v>
      </c>
      <c r="G1943" t="str">
        <f t="shared" si="275"/>
        <v>OFF</v>
      </c>
    </row>
    <row r="1944" spans="1:7">
      <c r="A1944" t="s">
        <v>2758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</row>
    <row r="1945" spans="1:7">
      <c r="A1945" t="s">
        <v>115</v>
      </c>
      <c r="B1945" t="str">
        <f t="shared" ref="B1945:G1945" si="276">"OFF"</f>
        <v>OFF</v>
      </c>
      <c r="C1945" t="str">
        <f t="shared" si="276"/>
        <v>OFF</v>
      </c>
      <c r="D1945" t="str">
        <f t="shared" si="276"/>
        <v>OFF</v>
      </c>
      <c r="E1945" t="str">
        <f t="shared" si="276"/>
        <v>OFF</v>
      </c>
      <c r="F1945" t="str">
        <f t="shared" si="276"/>
        <v>OFF</v>
      </c>
      <c r="G1945" t="str">
        <f t="shared" si="276"/>
        <v>OFF</v>
      </c>
    </row>
    <row r="1946" spans="1:7">
      <c r="A1946" t="s">
        <v>2759</v>
      </c>
      <c r="B1946" t="str">
        <f t="shared" ref="B1946:G1946" si="277">"TS2"</f>
        <v>TS2</v>
      </c>
      <c r="C1946" t="str">
        <f t="shared" si="277"/>
        <v>TS2</v>
      </c>
      <c r="D1946" t="str">
        <f t="shared" si="277"/>
        <v>TS2</v>
      </c>
      <c r="E1946" t="str">
        <f t="shared" si="277"/>
        <v>TS2</v>
      </c>
      <c r="F1946" t="str">
        <f t="shared" si="277"/>
        <v>TS2</v>
      </c>
      <c r="G1946" t="str">
        <f t="shared" si="277"/>
        <v>TS2</v>
      </c>
    </row>
    <row r="1947" spans="1:7">
      <c r="A1947" t="s">
        <v>9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</row>
    <row r="1948" spans="1:7">
      <c r="A1948" t="s">
        <v>2478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</row>
    <row r="1949" spans="1:7">
      <c r="A1949" t="s">
        <v>52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</row>
    <row r="1950" spans="1:7">
      <c r="A1950" t="s">
        <v>256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</row>
    <row r="1951" spans="1:7">
      <c r="A1951" t="s">
        <v>2760</v>
      </c>
      <c r="B1951" t="str">
        <f t="shared" ref="B1951:G1951" si="278">"MAX"</f>
        <v>MAX</v>
      </c>
      <c r="C1951" t="str">
        <f t="shared" si="278"/>
        <v>MAX</v>
      </c>
      <c r="D1951" t="str">
        <f t="shared" si="278"/>
        <v>MAX</v>
      </c>
      <c r="E1951" t="str">
        <f t="shared" si="278"/>
        <v>MAX</v>
      </c>
      <c r="F1951" t="str">
        <f t="shared" si="278"/>
        <v>MAX</v>
      </c>
      <c r="G1951" t="str">
        <f t="shared" si="278"/>
        <v>MAX</v>
      </c>
    </row>
    <row r="1952" spans="1:7">
      <c r="A1952" t="s">
        <v>2761</v>
      </c>
      <c r="B1952" t="str">
        <f t="shared" ref="B1952:G1952" si="279">"OFF"</f>
        <v>OFF</v>
      </c>
      <c r="C1952" t="str">
        <f t="shared" si="279"/>
        <v>OFF</v>
      </c>
      <c r="D1952" t="str">
        <f t="shared" si="279"/>
        <v>OFF</v>
      </c>
      <c r="E1952" t="str">
        <f t="shared" si="279"/>
        <v>OFF</v>
      </c>
      <c r="F1952" t="str">
        <f t="shared" si="279"/>
        <v>OFF</v>
      </c>
      <c r="G1952" t="str">
        <f t="shared" si="279"/>
        <v>OFF</v>
      </c>
    </row>
    <row r="1953" spans="1:7">
      <c r="A1953" t="s">
        <v>2762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</row>
    <row r="1954" spans="1:7">
      <c r="A1954" t="s">
        <v>2763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</row>
    <row r="1955" spans="1:7">
      <c r="A1955" t="s">
        <v>2764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</row>
    <row r="1956" spans="1:7">
      <c r="A1956" t="s">
        <v>2765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</row>
    <row r="1957" spans="1:7">
      <c r="A1957" t="s">
        <v>2766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</row>
    <row r="1958" spans="1:7">
      <c r="A1958" t="s">
        <v>2767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</row>
    <row r="1959" spans="1:7">
      <c r="A1959" t="s">
        <v>2768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</row>
    <row r="1960" spans="1:7">
      <c r="A1960" t="s">
        <v>2769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</row>
    <row r="1961" spans="1:7">
      <c r="A1961" t="s">
        <v>2770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0</v>
      </c>
    </row>
    <row r="1962" spans="1:7">
      <c r="A1962" t="s">
        <v>2771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</row>
    <row r="1963" spans="1:7">
      <c r="A1963" t="s">
        <v>2772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0</v>
      </c>
    </row>
    <row r="1964" spans="1:7">
      <c r="A1964" t="s">
        <v>2773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</row>
    <row r="1965" spans="1:7">
      <c r="A1965" t="s">
        <v>49</v>
      </c>
      <c r="B1965" t="str">
        <f t="shared" ref="B1965:G1965" si="280">"EMERG"</f>
        <v>EMERG</v>
      </c>
      <c r="C1965" t="str">
        <f t="shared" si="280"/>
        <v>EMERG</v>
      </c>
      <c r="D1965" t="str">
        <f t="shared" si="280"/>
        <v>EMERG</v>
      </c>
      <c r="E1965" t="str">
        <f t="shared" si="280"/>
        <v>EMERG</v>
      </c>
      <c r="F1965" t="str">
        <f t="shared" si="280"/>
        <v>EMERG</v>
      </c>
      <c r="G1965" t="str">
        <f t="shared" si="280"/>
        <v>EMERG</v>
      </c>
    </row>
    <row r="1966" spans="1:7">
      <c r="A1966" t="s">
        <v>2774</v>
      </c>
      <c r="B1966" t="str">
        <f t="shared" ref="B1966:G1966" si="281">"OFF"</f>
        <v>OFF</v>
      </c>
      <c r="C1966" t="str">
        <f t="shared" si="281"/>
        <v>OFF</v>
      </c>
      <c r="D1966" t="str">
        <f t="shared" si="281"/>
        <v>OFF</v>
      </c>
      <c r="E1966" t="str">
        <f t="shared" si="281"/>
        <v>OFF</v>
      </c>
      <c r="F1966" t="str">
        <f t="shared" si="281"/>
        <v>OFF</v>
      </c>
      <c r="G1966" t="str">
        <f t="shared" si="281"/>
        <v>OFF</v>
      </c>
    </row>
    <row r="1967" spans="1:7">
      <c r="A1967" t="s">
        <v>1506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</row>
    <row r="1969" spans="1:5">
      <c r="B1969" t="s">
        <v>2782</v>
      </c>
      <c r="C1969">
        <v>35</v>
      </c>
      <c r="D1969">
        <v>4</v>
      </c>
      <c r="E1969">
        <v>1</v>
      </c>
    </row>
    <row r="1970" spans="1:5">
      <c r="B1970" t="s">
        <v>1652</v>
      </c>
      <c r="C1970" t="s">
        <v>1653</v>
      </c>
      <c r="D1970" t="s">
        <v>1654</v>
      </c>
      <c r="E1970" t="s">
        <v>1655</v>
      </c>
    </row>
    <row r="1971" spans="1:5">
      <c r="A1971" t="s">
        <v>2783</v>
      </c>
      <c r="B1971">
        <v>0</v>
      </c>
      <c r="C1971">
        <v>0</v>
      </c>
      <c r="D1971">
        <v>0</v>
      </c>
      <c r="E1971">
        <v>0</v>
      </c>
    </row>
    <row r="1972" spans="1:5">
      <c r="A1972" t="s">
        <v>2784</v>
      </c>
      <c r="B1972">
        <v>0</v>
      </c>
      <c r="C1972">
        <v>0</v>
      </c>
      <c r="D1972">
        <v>0</v>
      </c>
      <c r="E1972">
        <v>0</v>
      </c>
    </row>
    <row r="1973" spans="1:5">
      <c r="A1973" t="s">
        <v>2785</v>
      </c>
      <c r="B1973">
        <v>0</v>
      </c>
      <c r="C1973">
        <v>0</v>
      </c>
      <c r="D1973">
        <v>0</v>
      </c>
      <c r="E1973">
        <v>0</v>
      </c>
    </row>
    <row r="1974" spans="1:5">
      <c r="A1974" t="s">
        <v>2786</v>
      </c>
      <c r="B1974">
        <v>0</v>
      </c>
      <c r="C1974">
        <v>0</v>
      </c>
      <c r="D1974">
        <v>0</v>
      </c>
      <c r="E1974">
        <v>0</v>
      </c>
    </row>
    <row r="1975" spans="1:5">
      <c r="A1975" t="s">
        <v>2787</v>
      </c>
      <c r="B1975">
        <v>0</v>
      </c>
      <c r="C1975">
        <v>0</v>
      </c>
      <c r="D1975">
        <v>0</v>
      </c>
      <c r="E1975">
        <v>0</v>
      </c>
    </row>
    <row r="1976" spans="1:5">
      <c r="A1976" t="s">
        <v>2788</v>
      </c>
      <c r="B1976">
        <v>0</v>
      </c>
      <c r="C1976">
        <v>0</v>
      </c>
      <c r="D1976">
        <v>0</v>
      </c>
      <c r="E1976">
        <v>0</v>
      </c>
    </row>
    <row r="1977" spans="1:5">
      <c r="A1977" t="s">
        <v>2789</v>
      </c>
      <c r="B1977">
        <v>0</v>
      </c>
      <c r="C1977">
        <v>0</v>
      </c>
      <c r="D1977">
        <v>0</v>
      </c>
      <c r="E1977">
        <v>0</v>
      </c>
    </row>
    <row r="1978" spans="1:5">
      <c r="A1978" t="s">
        <v>2790</v>
      </c>
      <c r="B1978">
        <v>0</v>
      </c>
      <c r="C1978">
        <v>0</v>
      </c>
      <c r="D1978">
        <v>0</v>
      </c>
      <c r="E1978">
        <v>0</v>
      </c>
    </row>
    <row r="1979" spans="1:5">
      <c r="A1979" t="s">
        <v>2791</v>
      </c>
      <c r="B1979">
        <v>0</v>
      </c>
      <c r="C1979">
        <v>0</v>
      </c>
      <c r="D1979">
        <v>0</v>
      </c>
      <c r="E1979">
        <v>0</v>
      </c>
    </row>
    <row r="1980" spans="1:5">
      <c r="A1980" t="s">
        <v>2792</v>
      </c>
      <c r="B1980">
        <v>0</v>
      </c>
      <c r="C1980">
        <v>0</v>
      </c>
      <c r="D1980">
        <v>0</v>
      </c>
      <c r="E1980">
        <v>0</v>
      </c>
    </row>
    <row r="1981" spans="1:5">
      <c r="A1981" t="s">
        <v>2793</v>
      </c>
      <c r="B1981">
        <v>0</v>
      </c>
      <c r="C1981">
        <v>0</v>
      </c>
      <c r="D1981">
        <v>0</v>
      </c>
      <c r="E1981">
        <v>0</v>
      </c>
    </row>
    <row r="1982" spans="1:5">
      <c r="A1982" t="s">
        <v>2794</v>
      </c>
      <c r="B1982">
        <v>0</v>
      </c>
      <c r="C1982">
        <v>0</v>
      </c>
      <c r="D1982">
        <v>0</v>
      </c>
      <c r="E1982">
        <v>0</v>
      </c>
    </row>
    <row r="1983" spans="1:5">
      <c r="A1983" t="s">
        <v>2795</v>
      </c>
      <c r="B1983">
        <v>0</v>
      </c>
      <c r="C1983">
        <v>0</v>
      </c>
      <c r="D1983">
        <v>0</v>
      </c>
      <c r="E1983">
        <v>0</v>
      </c>
    </row>
    <row r="1984" spans="1:5">
      <c r="A1984" t="s">
        <v>2796</v>
      </c>
      <c r="B1984">
        <v>0</v>
      </c>
      <c r="C1984">
        <v>0</v>
      </c>
      <c r="D1984">
        <v>0</v>
      </c>
      <c r="E1984">
        <v>0</v>
      </c>
    </row>
    <row r="1985" spans="1:5">
      <c r="A1985" t="s">
        <v>2797</v>
      </c>
      <c r="B1985">
        <v>0</v>
      </c>
      <c r="C1985">
        <v>0</v>
      </c>
      <c r="D1985">
        <v>0</v>
      </c>
      <c r="E1985">
        <v>0</v>
      </c>
    </row>
    <row r="1986" spans="1:5">
      <c r="A1986" t="s">
        <v>2798</v>
      </c>
      <c r="B1986">
        <v>0</v>
      </c>
      <c r="C1986">
        <v>0</v>
      </c>
      <c r="D1986">
        <v>0</v>
      </c>
      <c r="E1986">
        <v>0</v>
      </c>
    </row>
    <row r="1987" spans="1:5">
      <c r="A1987" t="s">
        <v>2799</v>
      </c>
      <c r="B1987">
        <v>0</v>
      </c>
      <c r="C1987">
        <v>0</v>
      </c>
      <c r="D1987">
        <v>0</v>
      </c>
      <c r="E1987">
        <v>0</v>
      </c>
    </row>
    <row r="1988" spans="1:5">
      <c r="A1988" t="s">
        <v>2800</v>
      </c>
      <c r="B1988">
        <v>0</v>
      </c>
      <c r="C1988">
        <v>0</v>
      </c>
      <c r="D1988">
        <v>0</v>
      </c>
      <c r="E1988">
        <v>0</v>
      </c>
    </row>
    <row r="1989" spans="1:5">
      <c r="A1989" t="s">
        <v>2801</v>
      </c>
      <c r="B1989">
        <v>0</v>
      </c>
      <c r="C1989">
        <v>0</v>
      </c>
      <c r="D1989">
        <v>0</v>
      </c>
      <c r="E1989">
        <v>0</v>
      </c>
    </row>
    <row r="1990" spans="1:5">
      <c r="A1990" t="s">
        <v>2802</v>
      </c>
      <c r="B1990">
        <v>0</v>
      </c>
      <c r="C1990">
        <v>0</v>
      </c>
      <c r="D1990">
        <v>0</v>
      </c>
      <c r="E1990">
        <v>0</v>
      </c>
    </row>
    <row r="1991" spans="1:5">
      <c r="A1991" t="s">
        <v>2803</v>
      </c>
      <c r="B1991">
        <v>0</v>
      </c>
      <c r="C1991">
        <v>0</v>
      </c>
      <c r="D1991">
        <v>0</v>
      </c>
      <c r="E1991">
        <v>0</v>
      </c>
    </row>
    <row r="1992" spans="1:5">
      <c r="A1992" t="s">
        <v>2804</v>
      </c>
      <c r="B1992">
        <v>0</v>
      </c>
      <c r="C1992">
        <v>0</v>
      </c>
      <c r="D1992">
        <v>0</v>
      </c>
      <c r="E1992">
        <v>0</v>
      </c>
    </row>
    <row r="1993" spans="1:5">
      <c r="A1993" t="s">
        <v>2805</v>
      </c>
      <c r="B1993">
        <v>0</v>
      </c>
      <c r="C1993">
        <v>0</v>
      </c>
      <c r="D1993">
        <v>0</v>
      </c>
      <c r="E1993">
        <v>0</v>
      </c>
    </row>
    <row r="1994" spans="1:5">
      <c r="A1994" t="s">
        <v>2806</v>
      </c>
      <c r="B1994">
        <v>0</v>
      </c>
      <c r="C1994">
        <v>0</v>
      </c>
      <c r="D1994">
        <v>0</v>
      </c>
      <c r="E1994">
        <v>0</v>
      </c>
    </row>
    <row r="1995" spans="1:5">
      <c r="A1995" t="s">
        <v>2807</v>
      </c>
      <c r="B1995">
        <v>0</v>
      </c>
      <c r="C1995">
        <v>0</v>
      </c>
      <c r="D1995">
        <v>0</v>
      </c>
      <c r="E1995">
        <v>0</v>
      </c>
    </row>
    <row r="1996" spans="1:5">
      <c r="A1996" t="s">
        <v>2808</v>
      </c>
      <c r="B1996">
        <v>0</v>
      </c>
      <c r="C1996">
        <v>0</v>
      </c>
      <c r="D1996">
        <v>0</v>
      </c>
      <c r="E1996">
        <v>0</v>
      </c>
    </row>
    <row r="1997" spans="1:5">
      <c r="A1997" t="s">
        <v>2809</v>
      </c>
      <c r="B1997">
        <v>0</v>
      </c>
      <c r="C1997">
        <v>0</v>
      </c>
      <c r="D1997">
        <v>0</v>
      </c>
      <c r="E1997">
        <v>0</v>
      </c>
    </row>
    <row r="1998" spans="1:5">
      <c r="A1998" t="s">
        <v>2810</v>
      </c>
      <c r="B1998">
        <v>0</v>
      </c>
      <c r="C1998">
        <v>0</v>
      </c>
      <c r="D1998">
        <v>0</v>
      </c>
      <c r="E1998">
        <v>0</v>
      </c>
    </row>
    <row r="1999" spans="1:5">
      <c r="A1999" t="s">
        <v>2811</v>
      </c>
      <c r="B1999">
        <v>0</v>
      </c>
      <c r="C1999">
        <v>0</v>
      </c>
      <c r="D1999">
        <v>0</v>
      </c>
      <c r="E1999">
        <v>0</v>
      </c>
    </row>
    <row r="2000" spans="1:5">
      <c r="A2000" t="s">
        <v>2812</v>
      </c>
      <c r="B2000">
        <v>0</v>
      </c>
      <c r="C2000">
        <v>0</v>
      </c>
      <c r="D2000">
        <v>0</v>
      </c>
      <c r="E2000">
        <v>0</v>
      </c>
    </row>
    <row r="2001" spans="1:33">
      <c r="A2001" t="s">
        <v>2813</v>
      </c>
      <c r="B2001">
        <v>0</v>
      </c>
      <c r="C2001">
        <v>0</v>
      </c>
      <c r="D2001">
        <v>0</v>
      </c>
      <c r="E2001">
        <v>0</v>
      </c>
    </row>
    <row r="2002" spans="1:33">
      <c r="A2002" t="s">
        <v>2814</v>
      </c>
      <c r="B2002">
        <v>0</v>
      </c>
      <c r="C2002">
        <v>0</v>
      </c>
      <c r="D2002">
        <v>0</v>
      </c>
      <c r="E2002">
        <v>0</v>
      </c>
    </row>
    <row r="2003" spans="1:33">
      <c r="A2003" t="s">
        <v>2815</v>
      </c>
      <c r="B2003">
        <v>0</v>
      </c>
      <c r="C2003">
        <v>0</v>
      </c>
      <c r="D2003">
        <v>0</v>
      </c>
      <c r="E2003">
        <v>0</v>
      </c>
    </row>
    <row r="2004" spans="1:33">
      <c r="A2004" t="s">
        <v>2816</v>
      </c>
      <c r="B2004">
        <v>0</v>
      </c>
      <c r="C2004">
        <v>0</v>
      </c>
      <c r="D2004">
        <v>0</v>
      </c>
      <c r="E2004">
        <v>0</v>
      </c>
    </row>
    <row r="2005" spans="1:33">
      <c r="A2005" t="s">
        <v>2817</v>
      </c>
      <c r="B2005">
        <v>0</v>
      </c>
      <c r="C2005">
        <v>0</v>
      </c>
      <c r="D2005">
        <v>0</v>
      </c>
      <c r="E2005">
        <v>0</v>
      </c>
    </row>
    <row r="2007" spans="1:33">
      <c r="B2007" t="s">
        <v>2818</v>
      </c>
      <c r="C2007">
        <v>160</v>
      </c>
      <c r="D2007">
        <v>32</v>
      </c>
      <c r="E2007">
        <v>1</v>
      </c>
    </row>
    <row r="2008" spans="1:33">
      <c r="B2008" t="s">
        <v>2819</v>
      </c>
      <c r="C2008" t="s">
        <v>2820</v>
      </c>
      <c r="D2008" t="s">
        <v>2821</v>
      </c>
      <c r="E2008" t="s">
        <v>2822</v>
      </c>
      <c r="F2008" t="s">
        <v>2823</v>
      </c>
      <c r="G2008" t="s">
        <v>2824</v>
      </c>
      <c r="H2008" t="s">
        <v>2825</v>
      </c>
      <c r="I2008" t="s">
        <v>2826</v>
      </c>
      <c r="J2008" t="s">
        <v>2827</v>
      </c>
      <c r="K2008" t="s">
        <v>2828</v>
      </c>
      <c r="L2008" t="s">
        <v>2829</v>
      </c>
      <c r="M2008" t="s">
        <v>2830</v>
      </c>
      <c r="N2008" t="s">
        <v>2831</v>
      </c>
      <c r="O2008" t="s">
        <v>2832</v>
      </c>
      <c r="P2008" t="s">
        <v>2833</v>
      </c>
      <c r="Q2008" t="s">
        <v>2834</v>
      </c>
      <c r="R2008" t="s">
        <v>2835</v>
      </c>
      <c r="S2008" t="s">
        <v>2836</v>
      </c>
      <c r="T2008" t="s">
        <v>2837</v>
      </c>
      <c r="U2008" t="s">
        <v>2838</v>
      </c>
      <c r="V2008" t="s">
        <v>2839</v>
      </c>
      <c r="W2008" t="s">
        <v>2840</v>
      </c>
      <c r="X2008" t="s">
        <v>2841</v>
      </c>
      <c r="Y2008" t="s">
        <v>2842</v>
      </c>
      <c r="Z2008" t="s">
        <v>2843</v>
      </c>
      <c r="AA2008" t="s">
        <v>2844</v>
      </c>
      <c r="AB2008" t="s">
        <v>2845</v>
      </c>
      <c r="AC2008" t="s">
        <v>2846</v>
      </c>
      <c r="AD2008" t="s">
        <v>2847</v>
      </c>
      <c r="AE2008" t="s">
        <v>2848</v>
      </c>
      <c r="AF2008" t="s">
        <v>2849</v>
      </c>
      <c r="AG2008" t="s">
        <v>2850</v>
      </c>
    </row>
    <row r="2009" spans="1:33">
      <c r="A2009" t="s">
        <v>2851</v>
      </c>
      <c r="B2009" t="str">
        <f t="shared" ref="B2009:K2018" si="282">"OFF"</f>
        <v>OFF</v>
      </c>
      <c r="C2009" t="str">
        <f t="shared" si="282"/>
        <v>OFF</v>
      </c>
      <c r="D2009" t="str">
        <f t="shared" si="282"/>
        <v>OFF</v>
      </c>
      <c r="E2009" t="str">
        <f t="shared" si="282"/>
        <v>OFF</v>
      </c>
      <c r="F2009" t="str">
        <f t="shared" si="282"/>
        <v>OFF</v>
      </c>
      <c r="G2009" t="str">
        <f t="shared" si="282"/>
        <v>OFF</v>
      </c>
      <c r="H2009" t="str">
        <f t="shared" si="282"/>
        <v>OFF</v>
      </c>
      <c r="I2009" t="str">
        <f t="shared" si="282"/>
        <v>OFF</v>
      </c>
      <c r="J2009" t="str">
        <f t="shared" si="282"/>
        <v>OFF</v>
      </c>
      <c r="K2009" t="str">
        <f t="shared" si="282"/>
        <v>OFF</v>
      </c>
      <c r="L2009" t="str">
        <f t="shared" ref="L2009:U2018" si="283">"OFF"</f>
        <v>OFF</v>
      </c>
      <c r="M2009" t="str">
        <f t="shared" si="283"/>
        <v>OFF</v>
      </c>
      <c r="N2009" t="str">
        <f t="shared" si="283"/>
        <v>OFF</v>
      </c>
      <c r="O2009" t="str">
        <f t="shared" si="283"/>
        <v>OFF</v>
      </c>
      <c r="P2009" t="str">
        <f t="shared" si="283"/>
        <v>OFF</v>
      </c>
      <c r="Q2009" t="str">
        <f t="shared" si="283"/>
        <v>OFF</v>
      </c>
      <c r="R2009" t="str">
        <f t="shared" si="283"/>
        <v>OFF</v>
      </c>
      <c r="S2009" t="str">
        <f t="shared" si="283"/>
        <v>OFF</v>
      </c>
      <c r="T2009" t="str">
        <f t="shared" si="283"/>
        <v>OFF</v>
      </c>
      <c r="U2009" t="str">
        <f t="shared" si="283"/>
        <v>OFF</v>
      </c>
      <c r="V2009" t="str">
        <f t="shared" ref="V2009:AG2018" si="284">"OFF"</f>
        <v>OFF</v>
      </c>
      <c r="W2009" t="str">
        <f t="shared" si="284"/>
        <v>OFF</v>
      </c>
      <c r="X2009" t="str">
        <f t="shared" si="284"/>
        <v>OFF</v>
      </c>
      <c r="Y2009" t="str">
        <f t="shared" si="284"/>
        <v>OFF</v>
      </c>
      <c r="Z2009" t="str">
        <f t="shared" si="284"/>
        <v>OFF</v>
      </c>
      <c r="AA2009" t="str">
        <f t="shared" si="284"/>
        <v>OFF</v>
      </c>
      <c r="AB2009" t="str">
        <f t="shared" si="284"/>
        <v>OFF</v>
      </c>
      <c r="AC2009" t="str">
        <f t="shared" si="284"/>
        <v>OFF</v>
      </c>
      <c r="AD2009" t="str">
        <f t="shared" si="284"/>
        <v>OFF</v>
      </c>
      <c r="AE2009" t="str">
        <f t="shared" si="284"/>
        <v>OFF</v>
      </c>
      <c r="AF2009" t="str">
        <f t="shared" si="284"/>
        <v>OFF</v>
      </c>
      <c r="AG2009" t="str">
        <f t="shared" si="284"/>
        <v>OFF</v>
      </c>
    </row>
    <row r="2010" spans="1:33">
      <c r="A2010" t="s">
        <v>2852</v>
      </c>
      <c r="B2010" t="str">
        <f t="shared" si="282"/>
        <v>OFF</v>
      </c>
      <c r="C2010" t="str">
        <f t="shared" si="282"/>
        <v>OFF</v>
      </c>
      <c r="D2010" t="str">
        <f t="shared" si="282"/>
        <v>OFF</v>
      </c>
      <c r="E2010" t="str">
        <f t="shared" si="282"/>
        <v>OFF</v>
      </c>
      <c r="F2010" t="str">
        <f t="shared" si="282"/>
        <v>OFF</v>
      </c>
      <c r="G2010" t="str">
        <f t="shared" si="282"/>
        <v>OFF</v>
      </c>
      <c r="H2010" t="str">
        <f t="shared" si="282"/>
        <v>OFF</v>
      </c>
      <c r="I2010" t="str">
        <f t="shared" si="282"/>
        <v>OFF</v>
      </c>
      <c r="J2010" t="str">
        <f t="shared" si="282"/>
        <v>OFF</v>
      </c>
      <c r="K2010" t="str">
        <f t="shared" si="282"/>
        <v>OFF</v>
      </c>
      <c r="L2010" t="str">
        <f t="shared" si="283"/>
        <v>OFF</v>
      </c>
      <c r="M2010" t="str">
        <f t="shared" si="283"/>
        <v>OFF</v>
      </c>
      <c r="N2010" t="str">
        <f t="shared" si="283"/>
        <v>OFF</v>
      </c>
      <c r="O2010" t="str">
        <f t="shared" si="283"/>
        <v>OFF</v>
      </c>
      <c r="P2010" t="str">
        <f t="shared" si="283"/>
        <v>OFF</v>
      </c>
      <c r="Q2010" t="str">
        <f t="shared" si="283"/>
        <v>OFF</v>
      </c>
      <c r="R2010" t="str">
        <f t="shared" si="283"/>
        <v>OFF</v>
      </c>
      <c r="S2010" t="str">
        <f t="shared" si="283"/>
        <v>OFF</v>
      </c>
      <c r="T2010" t="str">
        <f t="shared" si="283"/>
        <v>OFF</v>
      </c>
      <c r="U2010" t="str">
        <f t="shared" si="283"/>
        <v>OFF</v>
      </c>
      <c r="V2010" t="str">
        <f t="shared" si="284"/>
        <v>OFF</v>
      </c>
      <c r="W2010" t="str">
        <f t="shared" si="284"/>
        <v>OFF</v>
      </c>
      <c r="X2010" t="str">
        <f t="shared" si="284"/>
        <v>OFF</v>
      </c>
      <c r="Y2010" t="str">
        <f t="shared" si="284"/>
        <v>OFF</v>
      </c>
      <c r="Z2010" t="str">
        <f t="shared" si="284"/>
        <v>OFF</v>
      </c>
      <c r="AA2010" t="str">
        <f t="shared" si="284"/>
        <v>OFF</v>
      </c>
      <c r="AB2010" t="str">
        <f t="shared" si="284"/>
        <v>OFF</v>
      </c>
      <c r="AC2010" t="str">
        <f t="shared" si="284"/>
        <v>OFF</v>
      </c>
      <c r="AD2010" t="str">
        <f t="shared" si="284"/>
        <v>OFF</v>
      </c>
      <c r="AE2010" t="str">
        <f t="shared" si="284"/>
        <v>OFF</v>
      </c>
      <c r="AF2010" t="str">
        <f t="shared" si="284"/>
        <v>OFF</v>
      </c>
      <c r="AG2010" t="str">
        <f t="shared" si="284"/>
        <v>OFF</v>
      </c>
    </row>
    <row r="2011" spans="1:33">
      <c r="A2011" t="s">
        <v>2853</v>
      </c>
      <c r="B2011" t="str">
        <f t="shared" si="282"/>
        <v>OFF</v>
      </c>
      <c r="C2011" t="str">
        <f t="shared" si="282"/>
        <v>OFF</v>
      </c>
      <c r="D2011" t="str">
        <f t="shared" si="282"/>
        <v>OFF</v>
      </c>
      <c r="E2011" t="str">
        <f t="shared" si="282"/>
        <v>OFF</v>
      </c>
      <c r="F2011" t="str">
        <f t="shared" si="282"/>
        <v>OFF</v>
      </c>
      <c r="G2011" t="str">
        <f t="shared" si="282"/>
        <v>OFF</v>
      </c>
      <c r="H2011" t="str">
        <f t="shared" si="282"/>
        <v>OFF</v>
      </c>
      <c r="I2011" t="str">
        <f t="shared" si="282"/>
        <v>OFF</v>
      </c>
      <c r="J2011" t="str">
        <f t="shared" si="282"/>
        <v>OFF</v>
      </c>
      <c r="K2011" t="str">
        <f t="shared" si="282"/>
        <v>OFF</v>
      </c>
      <c r="L2011" t="str">
        <f t="shared" si="283"/>
        <v>OFF</v>
      </c>
      <c r="M2011" t="str">
        <f t="shared" si="283"/>
        <v>OFF</v>
      </c>
      <c r="N2011" t="str">
        <f t="shared" si="283"/>
        <v>OFF</v>
      </c>
      <c r="O2011" t="str">
        <f t="shared" si="283"/>
        <v>OFF</v>
      </c>
      <c r="P2011" t="str">
        <f t="shared" si="283"/>
        <v>OFF</v>
      </c>
      <c r="Q2011" t="str">
        <f t="shared" si="283"/>
        <v>OFF</v>
      </c>
      <c r="R2011" t="str">
        <f t="shared" si="283"/>
        <v>OFF</v>
      </c>
      <c r="S2011" t="str">
        <f t="shared" si="283"/>
        <v>OFF</v>
      </c>
      <c r="T2011" t="str">
        <f t="shared" si="283"/>
        <v>OFF</v>
      </c>
      <c r="U2011" t="str">
        <f t="shared" si="283"/>
        <v>OFF</v>
      </c>
      <c r="V2011" t="str">
        <f t="shared" si="284"/>
        <v>OFF</v>
      </c>
      <c r="W2011" t="str">
        <f t="shared" si="284"/>
        <v>OFF</v>
      </c>
      <c r="X2011" t="str">
        <f t="shared" si="284"/>
        <v>OFF</v>
      </c>
      <c r="Y2011" t="str">
        <f t="shared" si="284"/>
        <v>OFF</v>
      </c>
      <c r="Z2011" t="str">
        <f t="shared" si="284"/>
        <v>OFF</v>
      </c>
      <c r="AA2011" t="str">
        <f t="shared" si="284"/>
        <v>OFF</v>
      </c>
      <c r="AB2011" t="str">
        <f t="shared" si="284"/>
        <v>OFF</v>
      </c>
      <c r="AC2011" t="str">
        <f t="shared" si="284"/>
        <v>OFF</v>
      </c>
      <c r="AD2011" t="str">
        <f t="shared" si="284"/>
        <v>OFF</v>
      </c>
      <c r="AE2011" t="str">
        <f t="shared" si="284"/>
        <v>OFF</v>
      </c>
      <c r="AF2011" t="str">
        <f t="shared" si="284"/>
        <v>OFF</v>
      </c>
      <c r="AG2011" t="str">
        <f t="shared" si="284"/>
        <v>OFF</v>
      </c>
    </row>
    <row r="2012" spans="1:33">
      <c r="A2012" t="s">
        <v>2854</v>
      </c>
      <c r="B2012" t="str">
        <f t="shared" si="282"/>
        <v>OFF</v>
      </c>
      <c r="C2012" t="str">
        <f t="shared" si="282"/>
        <v>OFF</v>
      </c>
      <c r="D2012" t="str">
        <f t="shared" si="282"/>
        <v>OFF</v>
      </c>
      <c r="E2012" t="str">
        <f t="shared" si="282"/>
        <v>OFF</v>
      </c>
      <c r="F2012" t="str">
        <f t="shared" si="282"/>
        <v>OFF</v>
      </c>
      <c r="G2012" t="str">
        <f t="shared" si="282"/>
        <v>OFF</v>
      </c>
      <c r="H2012" t="str">
        <f t="shared" si="282"/>
        <v>OFF</v>
      </c>
      <c r="I2012" t="str">
        <f t="shared" si="282"/>
        <v>OFF</v>
      </c>
      <c r="J2012" t="str">
        <f t="shared" si="282"/>
        <v>OFF</v>
      </c>
      <c r="K2012" t="str">
        <f t="shared" si="282"/>
        <v>OFF</v>
      </c>
      <c r="L2012" t="str">
        <f t="shared" si="283"/>
        <v>OFF</v>
      </c>
      <c r="M2012" t="str">
        <f t="shared" si="283"/>
        <v>OFF</v>
      </c>
      <c r="N2012" t="str">
        <f t="shared" si="283"/>
        <v>OFF</v>
      </c>
      <c r="O2012" t="str">
        <f t="shared" si="283"/>
        <v>OFF</v>
      </c>
      <c r="P2012" t="str">
        <f t="shared" si="283"/>
        <v>OFF</v>
      </c>
      <c r="Q2012" t="str">
        <f t="shared" si="283"/>
        <v>OFF</v>
      </c>
      <c r="R2012" t="str">
        <f t="shared" si="283"/>
        <v>OFF</v>
      </c>
      <c r="S2012" t="str">
        <f t="shared" si="283"/>
        <v>OFF</v>
      </c>
      <c r="T2012" t="str">
        <f t="shared" si="283"/>
        <v>OFF</v>
      </c>
      <c r="U2012" t="str">
        <f t="shared" si="283"/>
        <v>OFF</v>
      </c>
      <c r="V2012" t="str">
        <f t="shared" si="284"/>
        <v>OFF</v>
      </c>
      <c r="W2012" t="str">
        <f t="shared" si="284"/>
        <v>OFF</v>
      </c>
      <c r="X2012" t="str">
        <f t="shared" si="284"/>
        <v>OFF</v>
      </c>
      <c r="Y2012" t="str">
        <f t="shared" si="284"/>
        <v>OFF</v>
      </c>
      <c r="Z2012" t="str">
        <f t="shared" si="284"/>
        <v>OFF</v>
      </c>
      <c r="AA2012" t="str">
        <f t="shared" si="284"/>
        <v>OFF</v>
      </c>
      <c r="AB2012" t="str">
        <f t="shared" si="284"/>
        <v>OFF</v>
      </c>
      <c r="AC2012" t="str">
        <f t="shared" si="284"/>
        <v>OFF</v>
      </c>
      <c r="AD2012" t="str">
        <f t="shared" si="284"/>
        <v>OFF</v>
      </c>
      <c r="AE2012" t="str">
        <f t="shared" si="284"/>
        <v>OFF</v>
      </c>
      <c r="AF2012" t="str">
        <f t="shared" si="284"/>
        <v>OFF</v>
      </c>
      <c r="AG2012" t="str">
        <f t="shared" si="284"/>
        <v>OFF</v>
      </c>
    </row>
    <row r="2013" spans="1:33">
      <c r="A2013" t="s">
        <v>2855</v>
      </c>
      <c r="B2013" t="str">
        <f t="shared" si="282"/>
        <v>OFF</v>
      </c>
      <c r="C2013" t="str">
        <f t="shared" si="282"/>
        <v>OFF</v>
      </c>
      <c r="D2013" t="str">
        <f t="shared" si="282"/>
        <v>OFF</v>
      </c>
      <c r="E2013" t="str">
        <f t="shared" si="282"/>
        <v>OFF</v>
      </c>
      <c r="F2013" t="str">
        <f t="shared" si="282"/>
        <v>OFF</v>
      </c>
      <c r="G2013" t="str">
        <f t="shared" si="282"/>
        <v>OFF</v>
      </c>
      <c r="H2013" t="str">
        <f t="shared" si="282"/>
        <v>OFF</v>
      </c>
      <c r="I2013" t="str">
        <f t="shared" si="282"/>
        <v>OFF</v>
      </c>
      <c r="J2013" t="str">
        <f t="shared" si="282"/>
        <v>OFF</v>
      </c>
      <c r="K2013" t="str">
        <f t="shared" si="282"/>
        <v>OFF</v>
      </c>
      <c r="L2013" t="str">
        <f t="shared" si="283"/>
        <v>OFF</v>
      </c>
      <c r="M2013" t="str">
        <f t="shared" si="283"/>
        <v>OFF</v>
      </c>
      <c r="N2013" t="str">
        <f t="shared" si="283"/>
        <v>OFF</v>
      </c>
      <c r="O2013" t="str">
        <f t="shared" si="283"/>
        <v>OFF</v>
      </c>
      <c r="P2013" t="str">
        <f t="shared" si="283"/>
        <v>OFF</v>
      </c>
      <c r="Q2013" t="str">
        <f t="shared" si="283"/>
        <v>OFF</v>
      </c>
      <c r="R2013" t="str">
        <f t="shared" si="283"/>
        <v>OFF</v>
      </c>
      <c r="S2013" t="str">
        <f t="shared" si="283"/>
        <v>OFF</v>
      </c>
      <c r="T2013" t="str">
        <f t="shared" si="283"/>
        <v>OFF</v>
      </c>
      <c r="U2013" t="str">
        <f t="shared" si="283"/>
        <v>OFF</v>
      </c>
      <c r="V2013" t="str">
        <f t="shared" si="284"/>
        <v>OFF</v>
      </c>
      <c r="W2013" t="str">
        <f t="shared" si="284"/>
        <v>OFF</v>
      </c>
      <c r="X2013" t="str">
        <f t="shared" si="284"/>
        <v>OFF</v>
      </c>
      <c r="Y2013" t="str">
        <f t="shared" si="284"/>
        <v>OFF</v>
      </c>
      <c r="Z2013" t="str">
        <f t="shared" si="284"/>
        <v>OFF</v>
      </c>
      <c r="AA2013" t="str">
        <f t="shared" si="284"/>
        <v>OFF</v>
      </c>
      <c r="AB2013" t="str">
        <f t="shared" si="284"/>
        <v>OFF</v>
      </c>
      <c r="AC2013" t="str">
        <f t="shared" si="284"/>
        <v>OFF</v>
      </c>
      <c r="AD2013" t="str">
        <f t="shared" si="284"/>
        <v>OFF</v>
      </c>
      <c r="AE2013" t="str">
        <f t="shared" si="284"/>
        <v>OFF</v>
      </c>
      <c r="AF2013" t="str">
        <f t="shared" si="284"/>
        <v>OFF</v>
      </c>
      <c r="AG2013" t="str">
        <f t="shared" si="284"/>
        <v>OFF</v>
      </c>
    </row>
    <row r="2014" spans="1:33">
      <c r="A2014" t="s">
        <v>2856</v>
      </c>
      <c r="B2014" t="str">
        <f t="shared" si="282"/>
        <v>OFF</v>
      </c>
      <c r="C2014" t="str">
        <f t="shared" si="282"/>
        <v>OFF</v>
      </c>
      <c r="D2014" t="str">
        <f t="shared" si="282"/>
        <v>OFF</v>
      </c>
      <c r="E2014" t="str">
        <f t="shared" si="282"/>
        <v>OFF</v>
      </c>
      <c r="F2014" t="str">
        <f t="shared" si="282"/>
        <v>OFF</v>
      </c>
      <c r="G2014" t="str">
        <f t="shared" si="282"/>
        <v>OFF</v>
      </c>
      <c r="H2014" t="str">
        <f t="shared" si="282"/>
        <v>OFF</v>
      </c>
      <c r="I2014" t="str">
        <f t="shared" si="282"/>
        <v>OFF</v>
      </c>
      <c r="J2014" t="str">
        <f t="shared" si="282"/>
        <v>OFF</v>
      </c>
      <c r="K2014" t="str">
        <f t="shared" si="282"/>
        <v>OFF</v>
      </c>
      <c r="L2014" t="str">
        <f t="shared" si="283"/>
        <v>OFF</v>
      </c>
      <c r="M2014" t="str">
        <f t="shared" si="283"/>
        <v>OFF</v>
      </c>
      <c r="N2014" t="str">
        <f t="shared" si="283"/>
        <v>OFF</v>
      </c>
      <c r="O2014" t="str">
        <f t="shared" si="283"/>
        <v>OFF</v>
      </c>
      <c r="P2014" t="str">
        <f t="shared" si="283"/>
        <v>OFF</v>
      </c>
      <c r="Q2014" t="str">
        <f t="shared" si="283"/>
        <v>OFF</v>
      </c>
      <c r="R2014" t="str">
        <f t="shared" si="283"/>
        <v>OFF</v>
      </c>
      <c r="S2014" t="str">
        <f t="shared" si="283"/>
        <v>OFF</v>
      </c>
      <c r="T2014" t="str">
        <f t="shared" si="283"/>
        <v>OFF</v>
      </c>
      <c r="U2014" t="str">
        <f t="shared" si="283"/>
        <v>OFF</v>
      </c>
      <c r="V2014" t="str">
        <f t="shared" si="284"/>
        <v>OFF</v>
      </c>
      <c r="W2014" t="str">
        <f t="shared" si="284"/>
        <v>OFF</v>
      </c>
      <c r="X2014" t="str">
        <f t="shared" si="284"/>
        <v>OFF</v>
      </c>
      <c r="Y2014" t="str">
        <f t="shared" si="284"/>
        <v>OFF</v>
      </c>
      <c r="Z2014" t="str">
        <f t="shared" si="284"/>
        <v>OFF</v>
      </c>
      <c r="AA2014" t="str">
        <f t="shared" si="284"/>
        <v>OFF</v>
      </c>
      <c r="AB2014" t="str">
        <f t="shared" si="284"/>
        <v>OFF</v>
      </c>
      <c r="AC2014" t="str">
        <f t="shared" si="284"/>
        <v>OFF</v>
      </c>
      <c r="AD2014" t="str">
        <f t="shared" si="284"/>
        <v>OFF</v>
      </c>
      <c r="AE2014" t="str">
        <f t="shared" si="284"/>
        <v>OFF</v>
      </c>
      <c r="AF2014" t="str">
        <f t="shared" si="284"/>
        <v>OFF</v>
      </c>
      <c r="AG2014" t="str">
        <f t="shared" si="284"/>
        <v>OFF</v>
      </c>
    </row>
    <row r="2015" spans="1:33">
      <c r="A2015" t="s">
        <v>2857</v>
      </c>
      <c r="B2015" t="str">
        <f t="shared" si="282"/>
        <v>OFF</v>
      </c>
      <c r="C2015" t="str">
        <f t="shared" si="282"/>
        <v>OFF</v>
      </c>
      <c r="D2015" t="str">
        <f t="shared" si="282"/>
        <v>OFF</v>
      </c>
      <c r="E2015" t="str">
        <f t="shared" si="282"/>
        <v>OFF</v>
      </c>
      <c r="F2015" t="str">
        <f t="shared" si="282"/>
        <v>OFF</v>
      </c>
      <c r="G2015" t="str">
        <f t="shared" si="282"/>
        <v>OFF</v>
      </c>
      <c r="H2015" t="str">
        <f t="shared" si="282"/>
        <v>OFF</v>
      </c>
      <c r="I2015" t="str">
        <f t="shared" si="282"/>
        <v>OFF</v>
      </c>
      <c r="J2015" t="str">
        <f t="shared" si="282"/>
        <v>OFF</v>
      </c>
      <c r="K2015" t="str">
        <f t="shared" si="282"/>
        <v>OFF</v>
      </c>
      <c r="L2015" t="str">
        <f t="shared" si="283"/>
        <v>OFF</v>
      </c>
      <c r="M2015" t="str">
        <f t="shared" si="283"/>
        <v>OFF</v>
      </c>
      <c r="N2015" t="str">
        <f t="shared" si="283"/>
        <v>OFF</v>
      </c>
      <c r="O2015" t="str">
        <f t="shared" si="283"/>
        <v>OFF</v>
      </c>
      <c r="P2015" t="str">
        <f t="shared" si="283"/>
        <v>OFF</v>
      </c>
      <c r="Q2015" t="str">
        <f t="shared" si="283"/>
        <v>OFF</v>
      </c>
      <c r="R2015" t="str">
        <f t="shared" si="283"/>
        <v>OFF</v>
      </c>
      <c r="S2015" t="str">
        <f t="shared" si="283"/>
        <v>OFF</v>
      </c>
      <c r="T2015" t="str">
        <f t="shared" si="283"/>
        <v>OFF</v>
      </c>
      <c r="U2015" t="str">
        <f t="shared" si="283"/>
        <v>OFF</v>
      </c>
      <c r="V2015" t="str">
        <f t="shared" si="284"/>
        <v>OFF</v>
      </c>
      <c r="W2015" t="str">
        <f t="shared" si="284"/>
        <v>OFF</v>
      </c>
      <c r="X2015" t="str">
        <f t="shared" si="284"/>
        <v>OFF</v>
      </c>
      <c r="Y2015" t="str">
        <f t="shared" si="284"/>
        <v>OFF</v>
      </c>
      <c r="Z2015" t="str">
        <f t="shared" si="284"/>
        <v>OFF</v>
      </c>
      <c r="AA2015" t="str">
        <f t="shared" si="284"/>
        <v>OFF</v>
      </c>
      <c r="AB2015" t="str">
        <f t="shared" si="284"/>
        <v>OFF</v>
      </c>
      <c r="AC2015" t="str">
        <f t="shared" si="284"/>
        <v>OFF</v>
      </c>
      <c r="AD2015" t="str">
        <f t="shared" si="284"/>
        <v>OFF</v>
      </c>
      <c r="AE2015" t="str">
        <f t="shared" si="284"/>
        <v>OFF</v>
      </c>
      <c r="AF2015" t="str">
        <f t="shared" si="284"/>
        <v>OFF</v>
      </c>
      <c r="AG2015" t="str">
        <f t="shared" si="284"/>
        <v>OFF</v>
      </c>
    </row>
    <row r="2016" spans="1:33">
      <c r="A2016" t="s">
        <v>2858</v>
      </c>
      <c r="B2016" t="str">
        <f t="shared" si="282"/>
        <v>OFF</v>
      </c>
      <c r="C2016" t="str">
        <f t="shared" si="282"/>
        <v>OFF</v>
      </c>
      <c r="D2016" t="str">
        <f t="shared" si="282"/>
        <v>OFF</v>
      </c>
      <c r="E2016" t="str">
        <f t="shared" si="282"/>
        <v>OFF</v>
      </c>
      <c r="F2016" t="str">
        <f t="shared" si="282"/>
        <v>OFF</v>
      </c>
      <c r="G2016" t="str">
        <f t="shared" si="282"/>
        <v>OFF</v>
      </c>
      <c r="H2016" t="str">
        <f t="shared" si="282"/>
        <v>OFF</v>
      </c>
      <c r="I2016" t="str">
        <f t="shared" si="282"/>
        <v>OFF</v>
      </c>
      <c r="J2016" t="str">
        <f t="shared" si="282"/>
        <v>OFF</v>
      </c>
      <c r="K2016" t="str">
        <f t="shared" si="282"/>
        <v>OFF</v>
      </c>
      <c r="L2016" t="str">
        <f t="shared" si="283"/>
        <v>OFF</v>
      </c>
      <c r="M2016" t="str">
        <f t="shared" si="283"/>
        <v>OFF</v>
      </c>
      <c r="N2016" t="str">
        <f t="shared" si="283"/>
        <v>OFF</v>
      </c>
      <c r="O2016" t="str">
        <f t="shared" si="283"/>
        <v>OFF</v>
      </c>
      <c r="P2016" t="str">
        <f t="shared" si="283"/>
        <v>OFF</v>
      </c>
      <c r="Q2016" t="str">
        <f t="shared" si="283"/>
        <v>OFF</v>
      </c>
      <c r="R2016" t="str">
        <f t="shared" si="283"/>
        <v>OFF</v>
      </c>
      <c r="S2016" t="str">
        <f t="shared" si="283"/>
        <v>OFF</v>
      </c>
      <c r="T2016" t="str">
        <f t="shared" si="283"/>
        <v>OFF</v>
      </c>
      <c r="U2016" t="str">
        <f t="shared" si="283"/>
        <v>OFF</v>
      </c>
      <c r="V2016" t="str">
        <f t="shared" si="284"/>
        <v>OFF</v>
      </c>
      <c r="W2016" t="str">
        <f t="shared" si="284"/>
        <v>OFF</v>
      </c>
      <c r="X2016" t="str">
        <f t="shared" si="284"/>
        <v>OFF</v>
      </c>
      <c r="Y2016" t="str">
        <f t="shared" si="284"/>
        <v>OFF</v>
      </c>
      <c r="Z2016" t="str">
        <f t="shared" si="284"/>
        <v>OFF</v>
      </c>
      <c r="AA2016" t="str">
        <f t="shared" si="284"/>
        <v>OFF</v>
      </c>
      <c r="AB2016" t="str">
        <f t="shared" si="284"/>
        <v>OFF</v>
      </c>
      <c r="AC2016" t="str">
        <f t="shared" si="284"/>
        <v>OFF</v>
      </c>
      <c r="AD2016" t="str">
        <f t="shared" si="284"/>
        <v>OFF</v>
      </c>
      <c r="AE2016" t="str">
        <f t="shared" si="284"/>
        <v>OFF</v>
      </c>
      <c r="AF2016" t="str">
        <f t="shared" si="284"/>
        <v>OFF</v>
      </c>
      <c r="AG2016" t="str">
        <f t="shared" si="284"/>
        <v>OFF</v>
      </c>
    </row>
    <row r="2017" spans="1:33">
      <c r="A2017" t="s">
        <v>2859</v>
      </c>
      <c r="B2017" t="str">
        <f t="shared" si="282"/>
        <v>OFF</v>
      </c>
      <c r="C2017" t="str">
        <f t="shared" si="282"/>
        <v>OFF</v>
      </c>
      <c r="D2017" t="str">
        <f t="shared" si="282"/>
        <v>OFF</v>
      </c>
      <c r="E2017" t="str">
        <f t="shared" si="282"/>
        <v>OFF</v>
      </c>
      <c r="F2017" t="str">
        <f t="shared" si="282"/>
        <v>OFF</v>
      </c>
      <c r="G2017" t="str">
        <f t="shared" si="282"/>
        <v>OFF</v>
      </c>
      <c r="H2017" t="str">
        <f t="shared" si="282"/>
        <v>OFF</v>
      </c>
      <c r="I2017" t="str">
        <f t="shared" si="282"/>
        <v>OFF</v>
      </c>
      <c r="J2017" t="str">
        <f t="shared" si="282"/>
        <v>OFF</v>
      </c>
      <c r="K2017" t="str">
        <f t="shared" si="282"/>
        <v>OFF</v>
      </c>
      <c r="L2017" t="str">
        <f t="shared" si="283"/>
        <v>OFF</v>
      </c>
      <c r="M2017" t="str">
        <f t="shared" si="283"/>
        <v>OFF</v>
      </c>
      <c r="N2017" t="str">
        <f t="shared" si="283"/>
        <v>OFF</v>
      </c>
      <c r="O2017" t="str">
        <f t="shared" si="283"/>
        <v>OFF</v>
      </c>
      <c r="P2017" t="str">
        <f t="shared" si="283"/>
        <v>OFF</v>
      </c>
      <c r="Q2017" t="str">
        <f t="shared" si="283"/>
        <v>OFF</v>
      </c>
      <c r="R2017" t="str">
        <f t="shared" si="283"/>
        <v>OFF</v>
      </c>
      <c r="S2017" t="str">
        <f t="shared" si="283"/>
        <v>OFF</v>
      </c>
      <c r="T2017" t="str">
        <f t="shared" si="283"/>
        <v>OFF</v>
      </c>
      <c r="U2017" t="str">
        <f t="shared" si="283"/>
        <v>OFF</v>
      </c>
      <c r="V2017" t="str">
        <f t="shared" si="284"/>
        <v>OFF</v>
      </c>
      <c r="W2017" t="str">
        <f t="shared" si="284"/>
        <v>OFF</v>
      </c>
      <c r="X2017" t="str">
        <f t="shared" si="284"/>
        <v>OFF</v>
      </c>
      <c r="Y2017" t="str">
        <f t="shared" si="284"/>
        <v>OFF</v>
      </c>
      <c r="Z2017" t="str">
        <f t="shared" si="284"/>
        <v>OFF</v>
      </c>
      <c r="AA2017" t="str">
        <f t="shared" si="284"/>
        <v>OFF</v>
      </c>
      <c r="AB2017" t="str">
        <f t="shared" si="284"/>
        <v>OFF</v>
      </c>
      <c r="AC2017" t="str">
        <f t="shared" si="284"/>
        <v>OFF</v>
      </c>
      <c r="AD2017" t="str">
        <f t="shared" si="284"/>
        <v>OFF</v>
      </c>
      <c r="AE2017" t="str">
        <f t="shared" si="284"/>
        <v>OFF</v>
      </c>
      <c r="AF2017" t="str">
        <f t="shared" si="284"/>
        <v>OFF</v>
      </c>
      <c r="AG2017" t="str">
        <f t="shared" si="284"/>
        <v>OFF</v>
      </c>
    </row>
    <row r="2018" spans="1:33">
      <c r="A2018" t="s">
        <v>2860</v>
      </c>
      <c r="B2018" t="str">
        <f t="shared" si="282"/>
        <v>OFF</v>
      </c>
      <c r="C2018" t="str">
        <f t="shared" si="282"/>
        <v>OFF</v>
      </c>
      <c r="D2018" t="str">
        <f t="shared" si="282"/>
        <v>OFF</v>
      </c>
      <c r="E2018" t="str">
        <f t="shared" si="282"/>
        <v>OFF</v>
      </c>
      <c r="F2018" t="str">
        <f t="shared" si="282"/>
        <v>OFF</v>
      </c>
      <c r="G2018" t="str">
        <f t="shared" si="282"/>
        <v>OFF</v>
      </c>
      <c r="H2018" t="str">
        <f t="shared" si="282"/>
        <v>OFF</v>
      </c>
      <c r="I2018" t="str">
        <f t="shared" si="282"/>
        <v>OFF</v>
      </c>
      <c r="J2018" t="str">
        <f t="shared" si="282"/>
        <v>OFF</v>
      </c>
      <c r="K2018" t="str">
        <f t="shared" si="282"/>
        <v>OFF</v>
      </c>
      <c r="L2018" t="str">
        <f t="shared" si="283"/>
        <v>OFF</v>
      </c>
      <c r="M2018" t="str">
        <f t="shared" si="283"/>
        <v>OFF</v>
      </c>
      <c r="N2018" t="str">
        <f t="shared" si="283"/>
        <v>OFF</v>
      </c>
      <c r="O2018" t="str">
        <f t="shared" si="283"/>
        <v>OFF</v>
      </c>
      <c r="P2018" t="str">
        <f t="shared" si="283"/>
        <v>OFF</v>
      </c>
      <c r="Q2018" t="str">
        <f t="shared" si="283"/>
        <v>OFF</v>
      </c>
      <c r="R2018" t="str">
        <f t="shared" si="283"/>
        <v>OFF</v>
      </c>
      <c r="S2018" t="str">
        <f t="shared" si="283"/>
        <v>OFF</v>
      </c>
      <c r="T2018" t="str">
        <f t="shared" si="283"/>
        <v>OFF</v>
      </c>
      <c r="U2018" t="str">
        <f t="shared" si="283"/>
        <v>OFF</v>
      </c>
      <c r="V2018" t="str">
        <f t="shared" si="284"/>
        <v>OFF</v>
      </c>
      <c r="W2018" t="str">
        <f t="shared" si="284"/>
        <v>OFF</v>
      </c>
      <c r="X2018" t="str">
        <f t="shared" si="284"/>
        <v>OFF</v>
      </c>
      <c r="Y2018" t="str">
        <f t="shared" si="284"/>
        <v>OFF</v>
      </c>
      <c r="Z2018" t="str">
        <f t="shared" si="284"/>
        <v>OFF</v>
      </c>
      <c r="AA2018" t="str">
        <f t="shared" si="284"/>
        <v>OFF</v>
      </c>
      <c r="AB2018" t="str">
        <f t="shared" si="284"/>
        <v>OFF</v>
      </c>
      <c r="AC2018" t="str">
        <f t="shared" si="284"/>
        <v>OFF</v>
      </c>
      <c r="AD2018" t="str">
        <f t="shared" si="284"/>
        <v>OFF</v>
      </c>
      <c r="AE2018" t="str">
        <f t="shared" si="284"/>
        <v>OFF</v>
      </c>
      <c r="AF2018" t="str">
        <f t="shared" si="284"/>
        <v>OFF</v>
      </c>
      <c r="AG2018" t="str">
        <f t="shared" si="284"/>
        <v>OFF</v>
      </c>
    </row>
    <row r="2019" spans="1:33">
      <c r="A2019" t="s">
        <v>2861</v>
      </c>
      <c r="B2019" t="str">
        <f t="shared" ref="B2019:K2028" si="285">"OFF"</f>
        <v>OFF</v>
      </c>
      <c r="C2019" t="str">
        <f t="shared" si="285"/>
        <v>OFF</v>
      </c>
      <c r="D2019" t="str">
        <f t="shared" si="285"/>
        <v>OFF</v>
      </c>
      <c r="E2019" t="str">
        <f t="shared" si="285"/>
        <v>OFF</v>
      </c>
      <c r="F2019" t="str">
        <f t="shared" si="285"/>
        <v>OFF</v>
      </c>
      <c r="G2019" t="str">
        <f t="shared" si="285"/>
        <v>OFF</v>
      </c>
      <c r="H2019" t="str">
        <f t="shared" si="285"/>
        <v>OFF</v>
      </c>
      <c r="I2019" t="str">
        <f t="shared" si="285"/>
        <v>OFF</v>
      </c>
      <c r="J2019" t="str">
        <f t="shared" si="285"/>
        <v>OFF</v>
      </c>
      <c r="K2019" t="str">
        <f t="shared" si="285"/>
        <v>OFF</v>
      </c>
      <c r="L2019" t="str">
        <f t="shared" ref="L2019:U2028" si="286">"OFF"</f>
        <v>OFF</v>
      </c>
      <c r="M2019" t="str">
        <f t="shared" si="286"/>
        <v>OFF</v>
      </c>
      <c r="N2019" t="str">
        <f t="shared" si="286"/>
        <v>OFF</v>
      </c>
      <c r="O2019" t="str">
        <f t="shared" si="286"/>
        <v>OFF</v>
      </c>
      <c r="P2019" t="str">
        <f t="shared" si="286"/>
        <v>OFF</v>
      </c>
      <c r="Q2019" t="str">
        <f t="shared" si="286"/>
        <v>OFF</v>
      </c>
      <c r="R2019" t="str">
        <f t="shared" si="286"/>
        <v>OFF</v>
      </c>
      <c r="S2019" t="str">
        <f t="shared" si="286"/>
        <v>OFF</v>
      </c>
      <c r="T2019" t="str">
        <f t="shared" si="286"/>
        <v>OFF</v>
      </c>
      <c r="U2019" t="str">
        <f t="shared" si="286"/>
        <v>OFF</v>
      </c>
      <c r="V2019" t="str">
        <f t="shared" ref="V2019:AG2028" si="287">"OFF"</f>
        <v>OFF</v>
      </c>
      <c r="W2019" t="str">
        <f t="shared" si="287"/>
        <v>OFF</v>
      </c>
      <c r="X2019" t="str">
        <f t="shared" si="287"/>
        <v>OFF</v>
      </c>
      <c r="Y2019" t="str">
        <f t="shared" si="287"/>
        <v>OFF</v>
      </c>
      <c r="Z2019" t="str">
        <f t="shared" si="287"/>
        <v>OFF</v>
      </c>
      <c r="AA2019" t="str">
        <f t="shared" si="287"/>
        <v>OFF</v>
      </c>
      <c r="AB2019" t="str">
        <f t="shared" si="287"/>
        <v>OFF</v>
      </c>
      <c r="AC2019" t="str">
        <f t="shared" si="287"/>
        <v>OFF</v>
      </c>
      <c r="AD2019" t="str">
        <f t="shared" si="287"/>
        <v>OFF</v>
      </c>
      <c r="AE2019" t="str">
        <f t="shared" si="287"/>
        <v>OFF</v>
      </c>
      <c r="AF2019" t="str">
        <f t="shared" si="287"/>
        <v>OFF</v>
      </c>
      <c r="AG2019" t="str">
        <f t="shared" si="287"/>
        <v>OFF</v>
      </c>
    </row>
    <row r="2020" spans="1:33">
      <c r="A2020" t="s">
        <v>2862</v>
      </c>
      <c r="B2020" t="str">
        <f t="shared" si="285"/>
        <v>OFF</v>
      </c>
      <c r="C2020" t="str">
        <f t="shared" si="285"/>
        <v>OFF</v>
      </c>
      <c r="D2020" t="str">
        <f t="shared" si="285"/>
        <v>OFF</v>
      </c>
      <c r="E2020" t="str">
        <f t="shared" si="285"/>
        <v>OFF</v>
      </c>
      <c r="F2020" t="str">
        <f t="shared" si="285"/>
        <v>OFF</v>
      </c>
      <c r="G2020" t="str">
        <f t="shared" si="285"/>
        <v>OFF</v>
      </c>
      <c r="H2020" t="str">
        <f t="shared" si="285"/>
        <v>OFF</v>
      </c>
      <c r="I2020" t="str">
        <f t="shared" si="285"/>
        <v>OFF</v>
      </c>
      <c r="J2020" t="str">
        <f t="shared" si="285"/>
        <v>OFF</v>
      </c>
      <c r="K2020" t="str">
        <f t="shared" si="285"/>
        <v>OFF</v>
      </c>
      <c r="L2020" t="str">
        <f t="shared" si="286"/>
        <v>OFF</v>
      </c>
      <c r="M2020" t="str">
        <f t="shared" si="286"/>
        <v>OFF</v>
      </c>
      <c r="N2020" t="str">
        <f t="shared" si="286"/>
        <v>OFF</v>
      </c>
      <c r="O2020" t="str">
        <f t="shared" si="286"/>
        <v>OFF</v>
      </c>
      <c r="P2020" t="str">
        <f t="shared" si="286"/>
        <v>OFF</v>
      </c>
      <c r="Q2020" t="str">
        <f t="shared" si="286"/>
        <v>OFF</v>
      </c>
      <c r="R2020" t="str">
        <f t="shared" si="286"/>
        <v>OFF</v>
      </c>
      <c r="S2020" t="str">
        <f t="shared" si="286"/>
        <v>OFF</v>
      </c>
      <c r="T2020" t="str">
        <f t="shared" si="286"/>
        <v>OFF</v>
      </c>
      <c r="U2020" t="str">
        <f t="shared" si="286"/>
        <v>OFF</v>
      </c>
      <c r="V2020" t="str">
        <f t="shared" si="287"/>
        <v>OFF</v>
      </c>
      <c r="W2020" t="str">
        <f t="shared" si="287"/>
        <v>OFF</v>
      </c>
      <c r="X2020" t="str">
        <f t="shared" si="287"/>
        <v>OFF</v>
      </c>
      <c r="Y2020" t="str">
        <f t="shared" si="287"/>
        <v>OFF</v>
      </c>
      <c r="Z2020" t="str">
        <f t="shared" si="287"/>
        <v>OFF</v>
      </c>
      <c r="AA2020" t="str">
        <f t="shared" si="287"/>
        <v>OFF</v>
      </c>
      <c r="AB2020" t="str">
        <f t="shared" si="287"/>
        <v>OFF</v>
      </c>
      <c r="AC2020" t="str">
        <f t="shared" si="287"/>
        <v>OFF</v>
      </c>
      <c r="AD2020" t="str">
        <f t="shared" si="287"/>
        <v>OFF</v>
      </c>
      <c r="AE2020" t="str">
        <f t="shared" si="287"/>
        <v>OFF</v>
      </c>
      <c r="AF2020" t="str">
        <f t="shared" si="287"/>
        <v>OFF</v>
      </c>
      <c r="AG2020" t="str">
        <f t="shared" si="287"/>
        <v>OFF</v>
      </c>
    </row>
    <row r="2021" spans="1:33">
      <c r="A2021" t="s">
        <v>2863</v>
      </c>
      <c r="B2021" t="str">
        <f t="shared" si="285"/>
        <v>OFF</v>
      </c>
      <c r="C2021" t="str">
        <f t="shared" si="285"/>
        <v>OFF</v>
      </c>
      <c r="D2021" t="str">
        <f t="shared" si="285"/>
        <v>OFF</v>
      </c>
      <c r="E2021" t="str">
        <f t="shared" si="285"/>
        <v>OFF</v>
      </c>
      <c r="F2021" t="str">
        <f t="shared" si="285"/>
        <v>OFF</v>
      </c>
      <c r="G2021" t="str">
        <f t="shared" si="285"/>
        <v>OFF</v>
      </c>
      <c r="H2021" t="str">
        <f t="shared" si="285"/>
        <v>OFF</v>
      </c>
      <c r="I2021" t="str">
        <f t="shared" si="285"/>
        <v>OFF</v>
      </c>
      <c r="J2021" t="str">
        <f t="shared" si="285"/>
        <v>OFF</v>
      </c>
      <c r="K2021" t="str">
        <f t="shared" si="285"/>
        <v>OFF</v>
      </c>
      <c r="L2021" t="str">
        <f t="shared" si="286"/>
        <v>OFF</v>
      </c>
      <c r="M2021" t="str">
        <f t="shared" si="286"/>
        <v>OFF</v>
      </c>
      <c r="N2021" t="str">
        <f t="shared" si="286"/>
        <v>OFF</v>
      </c>
      <c r="O2021" t="str">
        <f t="shared" si="286"/>
        <v>OFF</v>
      </c>
      <c r="P2021" t="str">
        <f t="shared" si="286"/>
        <v>OFF</v>
      </c>
      <c r="Q2021" t="str">
        <f t="shared" si="286"/>
        <v>OFF</v>
      </c>
      <c r="R2021" t="str">
        <f t="shared" si="286"/>
        <v>OFF</v>
      </c>
      <c r="S2021" t="str">
        <f t="shared" si="286"/>
        <v>OFF</v>
      </c>
      <c r="T2021" t="str">
        <f t="shared" si="286"/>
        <v>OFF</v>
      </c>
      <c r="U2021" t="str">
        <f t="shared" si="286"/>
        <v>OFF</v>
      </c>
      <c r="V2021" t="str">
        <f t="shared" si="287"/>
        <v>OFF</v>
      </c>
      <c r="W2021" t="str">
        <f t="shared" si="287"/>
        <v>OFF</v>
      </c>
      <c r="X2021" t="str">
        <f t="shared" si="287"/>
        <v>OFF</v>
      </c>
      <c r="Y2021" t="str">
        <f t="shared" si="287"/>
        <v>OFF</v>
      </c>
      <c r="Z2021" t="str">
        <f t="shared" si="287"/>
        <v>OFF</v>
      </c>
      <c r="AA2021" t="str">
        <f t="shared" si="287"/>
        <v>OFF</v>
      </c>
      <c r="AB2021" t="str">
        <f t="shared" si="287"/>
        <v>OFF</v>
      </c>
      <c r="AC2021" t="str">
        <f t="shared" si="287"/>
        <v>OFF</v>
      </c>
      <c r="AD2021" t="str">
        <f t="shared" si="287"/>
        <v>OFF</v>
      </c>
      <c r="AE2021" t="str">
        <f t="shared" si="287"/>
        <v>OFF</v>
      </c>
      <c r="AF2021" t="str">
        <f t="shared" si="287"/>
        <v>OFF</v>
      </c>
      <c r="AG2021" t="str">
        <f t="shared" si="287"/>
        <v>OFF</v>
      </c>
    </row>
    <row r="2022" spans="1:33">
      <c r="A2022" t="s">
        <v>2864</v>
      </c>
      <c r="B2022" t="str">
        <f t="shared" si="285"/>
        <v>OFF</v>
      </c>
      <c r="C2022" t="str">
        <f t="shared" si="285"/>
        <v>OFF</v>
      </c>
      <c r="D2022" t="str">
        <f t="shared" si="285"/>
        <v>OFF</v>
      </c>
      <c r="E2022" t="str">
        <f t="shared" si="285"/>
        <v>OFF</v>
      </c>
      <c r="F2022" t="str">
        <f t="shared" si="285"/>
        <v>OFF</v>
      </c>
      <c r="G2022" t="str">
        <f t="shared" si="285"/>
        <v>OFF</v>
      </c>
      <c r="H2022" t="str">
        <f t="shared" si="285"/>
        <v>OFF</v>
      </c>
      <c r="I2022" t="str">
        <f t="shared" si="285"/>
        <v>OFF</v>
      </c>
      <c r="J2022" t="str">
        <f t="shared" si="285"/>
        <v>OFF</v>
      </c>
      <c r="K2022" t="str">
        <f t="shared" si="285"/>
        <v>OFF</v>
      </c>
      <c r="L2022" t="str">
        <f t="shared" si="286"/>
        <v>OFF</v>
      </c>
      <c r="M2022" t="str">
        <f t="shared" si="286"/>
        <v>OFF</v>
      </c>
      <c r="N2022" t="str">
        <f t="shared" si="286"/>
        <v>OFF</v>
      </c>
      <c r="O2022" t="str">
        <f t="shared" si="286"/>
        <v>OFF</v>
      </c>
      <c r="P2022" t="str">
        <f t="shared" si="286"/>
        <v>OFF</v>
      </c>
      <c r="Q2022" t="str">
        <f t="shared" si="286"/>
        <v>OFF</v>
      </c>
      <c r="R2022" t="str">
        <f t="shared" si="286"/>
        <v>OFF</v>
      </c>
      <c r="S2022" t="str">
        <f t="shared" si="286"/>
        <v>OFF</v>
      </c>
      <c r="T2022" t="str">
        <f t="shared" si="286"/>
        <v>OFF</v>
      </c>
      <c r="U2022" t="str">
        <f t="shared" si="286"/>
        <v>OFF</v>
      </c>
      <c r="V2022" t="str">
        <f t="shared" si="287"/>
        <v>OFF</v>
      </c>
      <c r="W2022" t="str">
        <f t="shared" si="287"/>
        <v>OFF</v>
      </c>
      <c r="X2022" t="str">
        <f t="shared" si="287"/>
        <v>OFF</v>
      </c>
      <c r="Y2022" t="str">
        <f t="shared" si="287"/>
        <v>OFF</v>
      </c>
      <c r="Z2022" t="str">
        <f t="shared" si="287"/>
        <v>OFF</v>
      </c>
      <c r="AA2022" t="str">
        <f t="shared" si="287"/>
        <v>OFF</v>
      </c>
      <c r="AB2022" t="str">
        <f t="shared" si="287"/>
        <v>OFF</v>
      </c>
      <c r="AC2022" t="str">
        <f t="shared" si="287"/>
        <v>OFF</v>
      </c>
      <c r="AD2022" t="str">
        <f t="shared" si="287"/>
        <v>OFF</v>
      </c>
      <c r="AE2022" t="str">
        <f t="shared" si="287"/>
        <v>OFF</v>
      </c>
      <c r="AF2022" t="str">
        <f t="shared" si="287"/>
        <v>OFF</v>
      </c>
      <c r="AG2022" t="str">
        <f t="shared" si="287"/>
        <v>OFF</v>
      </c>
    </row>
    <row r="2023" spans="1:33">
      <c r="A2023" t="s">
        <v>2865</v>
      </c>
      <c r="B2023" t="str">
        <f t="shared" si="285"/>
        <v>OFF</v>
      </c>
      <c r="C2023" t="str">
        <f t="shared" si="285"/>
        <v>OFF</v>
      </c>
      <c r="D2023" t="str">
        <f t="shared" si="285"/>
        <v>OFF</v>
      </c>
      <c r="E2023" t="str">
        <f t="shared" si="285"/>
        <v>OFF</v>
      </c>
      <c r="F2023" t="str">
        <f t="shared" si="285"/>
        <v>OFF</v>
      </c>
      <c r="G2023" t="str">
        <f t="shared" si="285"/>
        <v>OFF</v>
      </c>
      <c r="H2023" t="str">
        <f t="shared" si="285"/>
        <v>OFF</v>
      </c>
      <c r="I2023" t="str">
        <f t="shared" si="285"/>
        <v>OFF</v>
      </c>
      <c r="J2023" t="str">
        <f t="shared" si="285"/>
        <v>OFF</v>
      </c>
      <c r="K2023" t="str">
        <f t="shared" si="285"/>
        <v>OFF</v>
      </c>
      <c r="L2023" t="str">
        <f t="shared" si="286"/>
        <v>OFF</v>
      </c>
      <c r="M2023" t="str">
        <f t="shared" si="286"/>
        <v>OFF</v>
      </c>
      <c r="N2023" t="str">
        <f t="shared" si="286"/>
        <v>OFF</v>
      </c>
      <c r="O2023" t="str">
        <f t="shared" si="286"/>
        <v>OFF</v>
      </c>
      <c r="P2023" t="str">
        <f t="shared" si="286"/>
        <v>OFF</v>
      </c>
      <c r="Q2023" t="str">
        <f t="shared" si="286"/>
        <v>OFF</v>
      </c>
      <c r="R2023" t="str">
        <f t="shared" si="286"/>
        <v>OFF</v>
      </c>
      <c r="S2023" t="str">
        <f t="shared" si="286"/>
        <v>OFF</v>
      </c>
      <c r="T2023" t="str">
        <f t="shared" si="286"/>
        <v>OFF</v>
      </c>
      <c r="U2023" t="str">
        <f t="shared" si="286"/>
        <v>OFF</v>
      </c>
      <c r="V2023" t="str">
        <f t="shared" si="287"/>
        <v>OFF</v>
      </c>
      <c r="W2023" t="str">
        <f t="shared" si="287"/>
        <v>OFF</v>
      </c>
      <c r="X2023" t="str">
        <f t="shared" si="287"/>
        <v>OFF</v>
      </c>
      <c r="Y2023" t="str">
        <f t="shared" si="287"/>
        <v>OFF</v>
      </c>
      <c r="Z2023" t="str">
        <f t="shared" si="287"/>
        <v>OFF</v>
      </c>
      <c r="AA2023" t="str">
        <f t="shared" si="287"/>
        <v>OFF</v>
      </c>
      <c r="AB2023" t="str">
        <f t="shared" si="287"/>
        <v>OFF</v>
      </c>
      <c r="AC2023" t="str">
        <f t="shared" si="287"/>
        <v>OFF</v>
      </c>
      <c r="AD2023" t="str">
        <f t="shared" si="287"/>
        <v>OFF</v>
      </c>
      <c r="AE2023" t="str">
        <f t="shared" si="287"/>
        <v>OFF</v>
      </c>
      <c r="AF2023" t="str">
        <f t="shared" si="287"/>
        <v>OFF</v>
      </c>
      <c r="AG2023" t="str">
        <f t="shared" si="287"/>
        <v>OFF</v>
      </c>
    </row>
    <row r="2024" spans="1:33">
      <c r="A2024" t="s">
        <v>2866</v>
      </c>
      <c r="B2024" t="str">
        <f t="shared" si="285"/>
        <v>OFF</v>
      </c>
      <c r="C2024" t="str">
        <f t="shared" si="285"/>
        <v>OFF</v>
      </c>
      <c r="D2024" t="str">
        <f t="shared" si="285"/>
        <v>OFF</v>
      </c>
      <c r="E2024" t="str">
        <f t="shared" si="285"/>
        <v>OFF</v>
      </c>
      <c r="F2024" t="str">
        <f t="shared" si="285"/>
        <v>OFF</v>
      </c>
      <c r="G2024" t="str">
        <f t="shared" si="285"/>
        <v>OFF</v>
      </c>
      <c r="H2024" t="str">
        <f t="shared" si="285"/>
        <v>OFF</v>
      </c>
      <c r="I2024" t="str">
        <f t="shared" si="285"/>
        <v>OFF</v>
      </c>
      <c r="J2024" t="str">
        <f t="shared" si="285"/>
        <v>OFF</v>
      </c>
      <c r="K2024" t="str">
        <f t="shared" si="285"/>
        <v>OFF</v>
      </c>
      <c r="L2024" t="str">
        <f t="shared" si="286"/>
        <v>OFF</v>
      </c>
      <c r="M2024" t="str">
        <f t="shared" si="286"/>
        <v>OFF</v>
      </c>
      <c r="N2024" t="str">
        <f t="shared" si="286"/>
        <v>OFF</v>
      </c>
      <c r="O2024" t="str">
        <f t="shared" si="286"/>
        <v>OFF</v>
      </c>
      <c r="P2024" t="str">
        <f t="shared" si="286"/>
        <v>OFF</v>
      </c>
      <c r="Q2024" t="str">
        <f t="shared" si="286"/>
        <v>OFF</v>
      </c>
      <c r="R2024" t="str">
        <f t="shared" si="286"/>
        <v>OFF</v>
      </c>
      <c r="S2024" t="str">
        <f t="shared" si="286"/>
        <v>OFF</v>
      </c>
      <c r="T2024" t="str">
        <f t="shared" si="286"/>
        <v>OFF</v>
      </c>
      <c r="U2024" t="str">
        <f t="shared" si="286"/>
        <v>OFF</v>
      </c>
      <c r="V2024" t="str">
        <f t="shared" si="287"/>
        <v>OFF</v>
      </c>
      <c r="W2024" t="str">
        <f t="shared" si="287"/>
        <v>OFF</v>
      </c>
      <c r="X2024" t="str">
        <f t="shared" si="287"/>
        <v>OFF</v>
      </c>
      <c r="Y2024" t="str">
        <f t="shared" si="287"/>
        <v>OFF</v>
      </c>
      <c r="Z2024" t="str">
        <f t="shared" si="287"/>
        <v>OFF</v>
      </c>
      <c r="AA2024" t="str">
        <f t="shared" si="287"/>
        <v>OFF</v>
      </c>
      <c r="AB2024" t="str">
        <f t="shared" si="287"/>
        <v>OFF</v>
      </c>
      <c r="AC2024" t="str">
        <f t="shared" si="287"/>
        <v>OFF</v>
      </c>
      <c r="AD2024" t="str">
        <f t="shared" si="287"/>
        <v>OFF</v>
      </c>
      <c r="AE2024" t="str">
        <f t="shared" si="287"/>
        <v>OFF</v>
      </c>
      <c r="AF2024" t="str">
        <f t="shared" si="287"/>
        <v>OFF</v>
      </c>
      <c r="AG2024" t="str">
        <f t="shared" si="287"/>
        <v>OFF</v>
      </c>
    </row>
    <row r="2025" spans="1:33">
      <c r="A2025" t="s">
        <v>2867</v>
      </c>
      <c r="B2025" t="str">
        <f t="shared" si="285"/>
        <v>OFF</v>
      </c>
      <c r="C2025" t="str">
        <f t="shared" si="285"/>
        <v>OFF</v>
      </c>
      <c r="D2025" t="str">
        <f t="shared" si="285"/>
        <v>OFF</v>
      </c>
      <c r="E2025" t="str">
        <f t="shared" si="285"/>
        <v>OFF</v>
      </c>
      <c r="F2025" t="str">
        <f t="shared" si="285"/>
        <v>OFF</v>
      </c>
      <c r="G2025" t="str">
        <f t="shared" si="285"/>
        <v>OFF</v>
      </c>
      <c r="H2025" t="str">
        <f t="shared" si="285"/>
        <v>OFF</v>
      </c>
      <c r="I2025" t="str">
        <f t="shared" si="285"/>
        <v>OFF</v>
      </c>
      <c r="J2025" t="str">
        <f t="shared" si="285"/>
        <v>OFF</v>
      </c>
      <c r="K2025" t="str">
        <f t="shared" si="285"/>
        <v>OFF</v>
      </c>
      <c r="L2025" t="str">
        <f t="shared" si="286"/>
        <v>OFF</v>
      </c>
      <c r="M2025" t="str">
        <f t="shared" si="286"/>
        <v>OFF</v>
      </c>
      <c r="N2025" t="str">
        <f t="shared" si="286"/>
        <v>OFF</v>
      </c>
      <c r="O2025" t="str">
        <f t="shared" si="286"/>
        <v>OFF</v>
      </c>
      <c r="P2025" t="str">
        <f t="shared" si="286"/>
        <v>OFF</v>
      </c>
      <c r="Q2025" t="str">
        <f t="shared" si="286"/>
        <v>OFF</v>
      </c>
      <c r="R2025" t="str">
        <f t="shared" si="286"/>
        <v>OFF</v>
      </c>
      <c r="S2025" t="str">
        <f t="shared" si="286"/>
        <v>OFF</v>
      </c>
      <c r="T2025" t="str">
        <f t="shared" si="286"/>
        <v>OFF</v>
      </c>
      <c r="U2025" t="str">
        <f t="shared" si="286"/>
        <v>OFF</v>
      </c>
      <c r="V2025" t="str">
        <f t="shared" si="287"/>
        <v>OFF</v>
      </c>
      <c r="W2025" t="str">
        <f t="shared" si="287"/>
        <v>OFF</v>
      </c>
      <c r="X2025" t="str">
        <f t="shared" si="287"/>
        <v>OFF</v>
      </c>
      <c r="Y2025" t="str">
        <f t="shared" si="287"/>
        <v>OFF</v>
      </c>
      <c r="Z2025" t="str">
        <f t="shared" si="287"/>
        <v>OFF</v>
      </c>
      <c r="AA2025" t="str">
        <f t="shared" si="287"/>
        <v>OFF</v>
      </c>
      <c r="AB2025" t="str">
        <f t="shared" si="287"/>
        <v>OFF</v>
      </c>
      <c r="AC2025" t="str">
        <f t="shared" si="287"/>
        <v>OFF</v>
      </c>
      <c r="AD2025" t="str">
        <f t="shared" si="287"/>
        <v>OFF</v>
      </c>
      <c r="AE2025" t="str">
        <f t="shared" si="287"/>
        <v>OFF</v>
      </c>
      <c r="AF2025" t="str">
        <f t="shared" si="287"/>
        <v>OFF</v>
      </c>
      <c r="AG2025" t="str">
        <f t="shared" si="287"/>
        <v>OFF</v>
      </c>
    </row>
    <row r="2026" spans="1:33">
      <c r="A2026" t="s">
        <v>2868</v>
      </c>
      <c r="B2026" t="str">
        <f t="shared" si="285"/>
        <v>OFF</v>
      </c>
      <c r="C2026" t="str">
        <f t="shared" si="285"/>
        <v>OFF</v>
      </c>
      <c r="D2026" t="str">
        <f t="shared" si="285"/>
        <v>OFF</v>
      </c>
      <c r="E2026" t="str">
        <f t="shared" si="285"/>
        <v>OFF</v>
      </c>
      <c r="F2026" t="str">
        <f t="shared" si="285"/>
        <v>OFF</v>
      </c>
      <c r="G2026" t="str">
        <f t="shared" si="285"/>
        <v>OFF</v>
      </c>
      <c r="H2026" t="str">
        <f t="shared" si="285"/>
        <v>OFF</v>
      </c>
      <c r="I2026" t="str">
        <f t="shared" si="285"/>
        <v>OFF</v>
      </c>
      <c r="J2026" t="str">
        <f t="shared" si="285"/>
        <v>OFF</v>
      </c>
      <c r="K2026" t="str">
        <f t="shared" si="285"/>
        <v>OFF</v>
      </c>
      <c r="L2026" t="str">
        <f t="shared" si="286"/>
        <v>OFF</v>
      </c>
      <c r="M2026" t="str">
        <f t="shared" si="286"/>
        <v>OFF</v>
      </c>
      <c r="N2026" t="str">
        <f t="shared" si="286"/>
        <v>OFF</v>
      </c>
      <c r="O2026" t="str">
        <f t="shared" si="286"/>
        <v>OFF</v>
      </c>
      <c r="P2026" t="str">
        <f t="shared" si="286"/>
        <v>OFF</v>
      </c>
      <c r="Q2026" t="str">
        <f t="shared" si="286"/>
        <v>OFF</v>
      </c>
      <c r="R2026" t="str">
        <f t="shared" si="286"/>
        <v>OFF</v>
      </c>
      <c r="S2026" t="str">
        <f t="shared" si="286"/>
        <v>OFF</v>
      </c>
      <c r="T2026" t="str">
        <f t="shared" si="286"/>
        <v>OFF</v>
      </c>
      <c r="U2026" t="str">
        <f t="shared" si="286"/>
        <v>OFF</v>
      </c>
      <c r="V2026" t="str">
        <f t="shared" si="287"/>
        <v>OFF</v>
      </c>
      <c r="W2026" t="str">
        <f t="shared" si="287"/>
        <v>OFF</v>
      </c>
      <c r="X2026" t="str">
        <f t="shared" si="287"/>
        <v>OFF</v>
      </c>
      <c r="Y2026" t="str">
        <f t="shared" si="287"/>
        <v>OFF</v>
      </c>
      <c r="Z2026" t="str">
        <f t="shared" si="287"/>
        <v>OFF</v>
      </c>
      <c r="AA2026" t="str">
        <f t="shared" si="287"/>
        <v>OFF</v>
      </c>
      <c r="AB2026" t="str">
        <f t="shared" si="287"/>
        <v>OFF</v>
      </c>
      <c r="AC2026" t="str">
        <f t="shared" si="287"/>
        <v>OFF</v>
      </c>
      <c r="AD2026" t="str">
        <f t="shared" si="287"/>
        <v>OFF</v>
      </c>
      <c r="AE2026" t="str">
        <f t="shared" si="287"/>
        <v>OFF</v>
      </c>
      <c r="AF2026" t="str">
        <f t="shared" si="287"/>
        <v>OFF</v>
      </c>
      <c r="AG2026" t="str">
        <f t="shared" si="287"/>
        <v>OFF</v>
      </c>
    </row>
    <row r="2027" spans="1:33">
      <c r="A2027" t="s">
        <v>2869</v>
      </c>
      <c r="B2027" t="str">
        <f t="shared" si="285"/>
        <v>OFF</v>
      </c>
      <c r="C2027" t="str">
        <f t="shared" si="285"/>
        <v>OFF</v>
      </c>
      <c r="D2027" t="str">
        <f t="shared" si="285"/>
        <v>OFF</v>
      </c>
      <c r="E2027" t="str">
        <f t="shared" si="285"/>
        <v>OFF</v>
      </c>
      <c r="F2027" t="str">
        <f t="shared" si="285"/>
        <v>OFF</v>
      </c>
      <c r="G2027" t="str">
        <f t="shared" si="285"/>
        <v>OFF</v>
      </c>
      <c r="H2027" t="str">
        <f t="shared" si="285"/>
        <v>OFF</v>
      </c>
      <c r="I2027" t="str">
        <f t="shared" si="285"/>
        <v>OFF</v>
      </c>
      <c r="J2027" t="str">
        <f t="shared" si="285"/>
        <v>OFF</v>
      </c>
      <c r="K2027" t="str">
        <f t="shared" si="285"/>
        <v>OFF</v>
      </c>
      <c r="L2027" t="str">
        <f t="shared" si="286"/>
        <v>OFF</v>
      </c>
      <c r="M2027" t="str">
        <f t="shared" si="286"/>
        <v>OFF</v>
      </c>
      <c r="N2027" t="str">
        <f t="shared" si="286"/>
        <v>OFF</v>
      </c>
      <c r="O2027" t="str">
        <f t="shared" si="286"/>
        <v>OFF</v>
      </c>
      <c r="P2027" t="str">
        <f t="shared" si="286"/>
        <v>OFF</v>
      </c>
      <c r="Q2027" t="str">
        <f t="shared" si="286"/>
        <v>OFF</v>
      </c>
      <c r="R2027" t="str">
        <f t="shared" si="286"/>
        <v>OFF</v>
      </c>
      <c r="S2027" t="str">
        <f t="shared" si="286"/>
        <v>OFF</v>
      </c>
      <c r="T2027" t="str">
        <f t="shared" si="286"/>
        <v>OFF</v>
      </c>
      <c r="U2027" t="str">
        <f t="shared" si="286"/>
        <v>OFF</v>
      </c>
      <c r="V2027" t="str">
        <f t="shared" si="287"/>
        <v>OFF</v>
      </c>
      <c r="W2027" t="str">
        <f t="shared" si="287"/>
        <v>OFF</v>
      </c>
      <c r="X2027" t="str">
        <f t="shared" si="287"/>
        <v>OFF</v>
      </c>
      <c r="Y2027" t="str">
        <f t="shared" si="287"/>
        <v>OFF</v>
      </c>
      <c r="Z2027" t="str">
        <f t="shared" si="287"/>
        <v>OFF</v>
      </c>
      <c r="AA2027" t="str">
        <f t="shared" si="287"/>
        <v>OFF</v>
      </c>
      <c r="AB2027" t="str">
        <f t="shared" si="287"/>
        <v>OFF</v>
      </c>
      <c r="AC2027" t="str">
        <f t="shared" si="287"/>
        <v>OFF</v>
      </c>
      <c r="AD2027" t="str">
        <f t="shared" si="287"/>
        <v>OFF</v>
      </c>
      <c r="AE2027" t="str">
        <f t="shared" si="287"/>
        <v>OFF</v>
      </c>
      <c r="AF2027" t="str">
        <f t="shared" si="287"/>
        <v>OFF</v>
      </c>
      <c r="AG2027" t="str">
        <f t="shared" si="287"/>
        <v>OFF</v>
      </c>
    </row>
    <row r="2028" spans="1:33">
      <c r="A2028" t="s">
        <v>2870</v>
      </c>
      <c r="B2028" t="str">
        <f t="shared" si="285"/>
        <v>OFF</v>
      </c>
      <c r="C2028" t="str">
        <f t="shared" si="285"/>
        <v>OFF</v>
      </c>
      <c r="D2028" t="str">
        <f t="shared" si="285"/>
        <v>OFF</v>
      </c>
      <c r="E2028" t="str">
        <f t="shared" si="285"/>
        <v>OFF</v>
      </c>
      <c r="F2028" t="str">
        <f t="shared" si="285"/>
        <v>OFF</v>
      </c>
      <c r="G2028" t="str">
        <f t="shared" si="285"/>
        <v>OFF</v>
      </c>
      <c r="H2028" t="str">
        <f t="shared" si="285"/>
        <v>OFF</v>
      </c>
      <c r="I2028" t="str">
        <f t="shared" si="285"/>
        <v>OFF</v>
      </c>
      <c r="J2028" t="str">
        <f t="shared" si="285"/>
        <v>OFF</v>
      </c>
      <c r="K2028" t="str">
        <f t="shared" si="285"/>
        <v>OFF</v>
      </c>
      <c r="L2028" t="str">
        <f t="shared" si="286"/>
        <v>OFF</v>
      </c>
      <c r="M2028" t="str">
        <f t="shared" si="286"/>
        <v>OFF</v>
      </c>
      <c r="N2028" t="str">
        <f t="shared" si="286"/>
        <v>OFF</v>
      </c>
      <c r="O2028" t="str">
        <f t="shared" si="286"/>
        <v>OFF</v>
      </c>
      <c r="P2028" t="str">
        <f t="shared" si="286"/>
        <v>OFF</v>
      </c>
      <c r="Q2028" t="str">
        <f t="shared" si="286"/>
        <v>OFF</v>
      </c>
      <c r="R2028" t="str">
        <f t="shared" si="286"/>
        <v>OFF</v>
      </c>
      <c r="S2028" t="str">
        <f t="shared" si="286"/>
        <v>OFF</v>
      </c>
      <c r="T2028" t="str">
        <f t="shared" si="286"/>
        <v>OFF</v>
      </c>
      <c r="U2028" t="str">
        <f t="shared" si="286"/>
        <v>OFF</v>
      </c>
      <c r="V2028" t="str">
        <f t="shared" si="287"/>
        <v>OFF</v>
      </c>
      <c r="W2028" t="str">
        <f t="shared" si="287"/>
        <v>OFF</v>
      </c>
      <c r="X2028" t="str">
        <f t="shared" si="287"/>
        <v>OFF</v>
      </c>
      <c r="Y2028" t="str">
        <f t="shared" si="287"/>
        <v>OFF</v>
      </c>
      <c r="Z2028" t="str">
        <f t="shared" si="287"/>
        <v>OFF</v>
      </c>
      <c r="AA2028" t="str">
        <f t="shared" si="287"/>
        <v>OFF</v>
      </c>
      <c r="AB2028" t="str">
        <f t="shared" si="287"/>
        <v>OFF</v>
      </c>
      <c r="AC2028" t="str">
        <f t="shared" si="287"/>
        <v>OFF</v>
      </c>
      <c r="AD2028" t="str">
        <f t="shared" si="287"/>
        <v>OFF</v>
      </c>
      <c r="AE2028" t="str">
        <f t="shared" si="287"/>
        <v>OFF</v>
      </c>
      <c r="AF2028" t="str">
        <f t="shared" si="287"/>
        <v>OFF</v>
      </c>
      <c r="AG2028" t="str">
        <f t="shared" si="287"/>
        <v>OFF</v>
      </c>
    </row>
    <row r="2029" spans="1:33">
      <c r="A2029" t="s">
        <v>2871</v>
      </c>
      <c r="B2029" t="str">
        <f t="shared" ref="B2029:K2038" si="288">"OFF"</f>
        <v>OFF</v>
      </c>
      <c r="C2029" t="str">
        <f t="shared" si="288"/>
        <v>OFF</v>
      </c>
      <c r="D2029" t="str">
        <f t="shared" si="288"/>
        <v>OFF</v>
      </c>
      <c r="E2029" t="str">
        <f t="shared" si="288"/>
        <v>OFF</v>
      </c>
      <c r="F2029" t="str">
        <f t="shared" si="288"/>
        <v>OFF</v>
      </c>
      <c r="G2029" t="str">
        <f t="shared" si="288"/>
        <v>OFF</v>
      </c>
      <c r="H2029" t="str">
        <f t="shared" si="288"/>
        <v>OFF</v>
      </c>
      <c r="I2029" t="str">
        <f t="shared" si="288"/>
        <v>OFF</v>
      </c>
      <c r="J2029" t="str">
        <f t="shared" si="288"/>
        <v>OFF</v>
      </c>
      <c r="K2029" t="str">
        <f t="shared" si="288"/>
        <v>OFF</v>
      </c>
      <c r="L2029" t="str">
        <f t="shared" ref="L2029:U2038" si="289">"OFF"</f>
        <v>OFF</v>
      </c>
      <c r="M2029" t="str">
        <f t="shared" si="289"/>
        <v>OFF</v>
      </c>
      <c r="N2029" t="str">
        <f t="shared" si="289"/>
        <v>OFF</v>
      </c>
      <c r="O2029" t="str">
        <f t="shared" si="289"/>
        <v>OFF</v>
      </c>
      <c r="P2029" t="str">
        <f t="shared" si="289"/>
        <v>OFF</v>
      </c>
      <c r="Q2029" t="str">
        <f t="shared" si="289"/>
        <v>OFF</v>
      </c>
      <c r="R2029" t="str">
        <f t="shared" si="289"/>
        <v>OFF</v>
      </c>
      <c r="S2029" t="str">
        <f t="shared" si="289"/>
        <v>OFF</v>
      </c>
      <c r="T2029" t="str">
        <f t="shared" si="289"/>
        <v>OFF</v>
      </c>
      <c r="U2029" t="str">
        <f t="shared" si="289"/>
        <v>OFF</v>
      </c>
      <c r="V2029" t="str">
        <f t="shared" ref="V2029:AG2038" si="290">"OFF"</f>
        <v>OFF</v>
      </c>
      <c r="W2029" t="str">
        <f t="shared" si="290"/>
        <v>OFF</v>
      </c>
      <c r="X2029" t="str">
        <f t="shared" si="290"/>
        <v>OFF</v>
      </c>
      <c r="Y2029" t="str">
        <f t="shared" si="290"/>
        <v>OFF</v>
      </c>
      <c r="Z2029" t="str">
        <f t="shared" si="290"/>
        <v>OFF</v>
      </c>
      <c r="AA2029" t="str">
        <f t="shared" si="290"/>
        <v>OFF</v>
      </c>
      <c r="AB2029" t="str">
        <f t="shared" si="290"/>
        <v>OFF</v>
      </c>
      <c r="AC2029" t="str">
        <f t="shared" si="290"/>
        <v>OFF</v>
      </c>
      <c r="AD2029" t="str">
        <f t="shared" si="290"/>
        <v>OFF</v>
      </c>
      <c r="AE2029" t="str">
        <f t="shared" si="290"/>
        <v>OFF</v>
      </c>
      <c r="AF2029" t="str">
        <f t="shared" si="290"/>
        <v>OFF</v>
      </c>
      <c r="AG2029" t="str">
        <f t="shared" si="290"/>
        <v>OFF</v>
      </c>
    </row>
    <row r="2030" spans="1:33">
      <c r="A2030" t="s">
        <v>2872</v>
      </c>
      <c r="B2030" t="str">
        <f t="shared" si="288"/>
        <v>OFF</v>
      </c>
      <c r="C2030" t="str">
        <f t="shared" si="288"/>
        <v>OFF</v>
      </c>
      <c r="D2030" t="str">
        <f t="shared" si="288"/>
        <v>OFF</v>
      </c>
      <c r="E2030" t="str">
        <f t="shared" si="288"/>
        <v>OFF</v>
      </c>
      <c r="F2030" t="str">
        <f t="shared" si="288"/>
        <v>OFF</v>
      </c>
      <c r="G2030" t="str">
        <f t="shared" si="288"/>
        <v>OFF</v>
      </c>
      <c r="H2030" t="str">
        <f t="shared" si="288"/>
        <v>OFF</v>
      </c>
      <c r="I2030" t="str">
        <f t="shared" si="288"/>
        <v>OFF</v>
      </c>
      <c r="J2030" t="str">
        <f t="shared" si="288"/>
        <v>OFF</v>
      </c>
      <c r="K2030" t="str">
        <f t="shared" si="288"/>
        <v>OFF</v>
      </c>
      <c r="L2030" t="str">
        <f t="shared" si="289"/>
        <v>OFF</v>
      </c>
      <c r="M2030" t="str">
        <f t="shared" si="289"/>
        <v>OFF</v>
      </c>
      <c r="N2030" t="str">
        <f t="shared" si="289"/>
        <v>OFF</v>
      </c>
      <c r="O2030" t="str">
        <f t="shared" si="289"/>
        <v>OFF</v>
      </c>
      <c r="P2030" t="str">
        <f t="shared" si="289"/>
        <v>OFF</v>
      </c>
      <c r="Q2030" t="str">
        <f t="shared" si="289"/>
        <v>OFF</v>
      </c>
      <c r="R2030" t="str">
        <f t="shared" si="289"/>
        <v>OFF</v>
      </c>
      <c r="S2030" t="str">
        <f t="shared" si="289"/>
        <v>OFF</v>
      </c>
      <c r="T2030" t="str">
        <f t="shared" si="289"/>
        <v>OFF</v>
      </c>
      <c r="U2030" t="str">
        <f t="shared" si="289"/>
        <v>OFF</v>
      </c>
      <c r="V2030" t="str">
        <f t="shared" si="290"/>
        <v>OFF</v>
      </c>
      <c r="W2030" t="str">
        <f t="shared" si="290"/>
        <v>OFF</v>
      </c>
      <c r="X2030" t="str">
        <f t="shared" si="290"/>
        <v>OFF</v>
      </c>
      <c r="Y2030" t="str">
        <f t="shared" si="290"/>
        <v>OFF</v>
      </c>
      <c r="Z2030" t="str">
        <f t="shared" si="290"/>
        <v>OFF</v>
      </c>
      <c r="AA2030" t="str">
        <f t="shared" si="290"/>
        <v>OFF</v>
      </c>
      <c r="AB2030" t="str">
        <f t="shared" si="290"/>
        <v>OFF</v>
      </c>
      <c r="AC2030" t="str">
        <f t="shared" si="290"/>
        <v>OFF</v>
      </c>
      <c r="AD2030" t="str">
        <f t="shared" si="290"/>
        <v>OFF</v>
      </c>
      <c r="AE2030" t="str">
        <f t="shared" si="290"/>
        <v>OFF</v>
      </c>
      <c r="AF2030" t="str">
        <f t="shared" si="290"/>
        <v>OFF</v>
      </c>
      <c r="AG2030" t="str">
        <f t="shared" si="290"/>
        <v>OFF</v>
      </c>
    </row>
    <row r="2031" spans="1:33">
      <c r="A2031" t="s">
        <v>2873</v>
      </c>
      <c r="B2031" t="str">
        <f t="shared" si="288"/>
        <v>OFF</v>
      </c>
      <c r="C2031" t="str">
        <f t="shared" si="288"/>
        <v>OFF</v>
      </c>
      <c r="D2031" t="str">
        <f t="shared" si="288"/>
        <v>OFF</v>
      </c>
      <c r="E2031" t="str">
        <f t="shared" si="288"/>
        <v>OFF</v>
      </c>
      <c r="F2031" t="str">
        <f t="shared" si="288"/>
        <v>OFF</v>
      </c>
      <c r="G2031" t="str">
        <f t="shared" si="288"/>
        <v>OFF</v>
      </c>
      <c r="H2031" t="str">
        <f t="shared" si="288"/>
        <v>OFF</v>
      </c>
      <c r="I2031" t="str">
        <f t="shared" si="288"/>
        <v>OFF</v>
      </c>
      <c r="J2031" t="str">
        <f t="shared" si="288"/>
        <v>OFF</v>
      </c>
      <c r="K2031" t="str">
        <f t="shared" si="288"/>
        <v>OFF</v>
      </c>
      <c r="L2031" t="str">
        <f t="shared" si="289"/>
        <v>OFF</v>
      </c>
      <c r="M2031" t="str">
        <f t="shared" si="289"/>
        <v>OFF</v>
      </c>
      <c r="N2031" t="str">
        <f t="shared" si="289"/>
        <v>OFF</v>
      </c>
      <c r="O2031" t="str">
        <f t="shared" si="289"/>
        <v>OFF</v>
      </c>
      <c r="P2031" t="str">
        <f t="shared" si="289"/>
        <v>OFF</v>
      </c>
      <c r="Q2031" t="str">
        <f t="shared" si="289"/>
        <v>OFF</v>
      </c>
      <c r="R2031" t="str">
        <f t="shared" si="289"/>
        <v>OFF</v>
      </c>
      <c r="S2031" t="str">
        <f t="shared" si="289"/>
        <v>OFF</v>
      </c>
      <c r="T2031" t="str">
        <f t="shared" si="289"/>
        <v>OFF</v>
      </c>
      <c r="U2031" t="str">
        <f t="shared" si="289"/>
        <v>OFF</v>
      </c>
      <c r="V2031" t="str">
        <f t="shared" si="290"/>
        <v>OFF</v>
      </c>
      <c r="W2031" t="str">
        <f t="shared" si="290"/>
        <v>OFF</v>
      </c>
      <c r="X2031" t="str">
        <f t="shared" si="290"/>
        <v>OFF</v>
      </c>
      <c r="Y2031" t="str">
        <f t="shared" si="290"/>
        <v>OFF</v>
      </c>
      <c r="Z2031" t="str">
        <f t="shared" si="290"/>
        <v>OFF</v>
      </c>
      <c r="AA2031" t="str">
        <f t="shared" si="290"/>
        <v>OFF</v>
      </c>
      <c r="AB2031" t="str">
        <f t="shared" si="290"/>
        <v>OFF</v>
      </c>
      <c r="AC2031" t="str">
        <f t="shared" si="290"/>
        <v>OFF</v>
      </c>
      <c r="AD2031" t="str">
        <f t="shared" si="290"/>
        <v>OFF</v>
      </c>
      <c r="AE2031" t="str">
        <f t="shared" si="290"/>
        <v>OFF</v>
      </c>
      <c r="AF2031" t="str">
        <f t="shared" si="290"/>
        <v>OFF</v>
      </c>
      <c r="AG2031" t="str">
        <f t="shared" si="290"/>
        <v>OFF</v>
      </c>
    </row>
    <row r="2032" spans="1:33">
      <c r="A2032" t="s">
        <v>2874</v>
      </c>
      <c r="B2032" t="str">
        <f t="shared" si="288"/>
        <v>OFF</v>
      </c>
      <c r="C2032" t="str">
        <f t="shared" si="288"/>
        <v>OFF</v>
      </c>
      <c r="D2032" t="str">
        <f t="shared" si="288"/>
        <v>OFF</v>
      </c>
      <c r="E2032" t="str">
        <f t="shared" si="288"/>
        <v>OFF</v>
      </c>
      <c r="F2032" t="str">
        <f t="shared" si="288"/>
        <v>OFF</v>
      </c>
      <c r="G2032" t="str">
        <f t="shared" si="288"/>
        <v>OFF</v>
      </c>
      <c r="H2032" t="str">
        <f t="shared" si="288"/>
        <v>OFF</v>
      </c>
      <c r="I2032" t="str">
        <f t="shared" si="288"/>
        <v>OFF</v>
      </c>
      <c r="J2032" t="str">
        <f t="shared" si="288"/>
        <v>OFF</v>
      </c>
      <c r="K2032" t="str">
        <f t="shared" si="288"/>
        <v>OFF</v>
      </c>
      <c r="L2032" t="str">
        <f t="shared" si="289"/>
        <v>OFF</v>
      </c>
      <c r="M2032" t="str">
        <f t="shared" si="289"/>
        <v>OFF</v>
      </c>
      <c r="N2032" t="str">
        <f t="shared" si="289"/>
        <v>OFF</v>
      </c>
      <c r="O2032" t="str">
        <f t="shared" si="289"/>
        <v>OFF</v>
      </c>
      <c r="P2032" t="str">
        <f t="shared" si="289"/>
        <v>OFF</v>
      </c>
      <c r="Q2032" t="str">
        <f t="shared" si="289"/>
        <v>OFF</v>
      </c>
      <c r="R2032" t="str">
        <f t="shared" si="289"/>
        <v>OFF</v>
      </c>
      <c r="S2032" t="str">
        <f t="shared" si="289"/>
        <v>OFF</v>
      </c>
      <c r="T2032" t="str">
        <f t="shared" si="289"/>
        <v>OFF</v>
      </c>
      <c r="U2032" t="str">
        <f t="shared" si="289"/>
        <v>OFF</v>
      </c>
      <c r="V2032" t="str">
        <f t="shared" si="290"/>
        <v>OFF</v>
      </c>
      <c r="W2032" t="str">
        <f t="shared" si="290"/>
        <v>OFF</v>
      </c>
      <c r="X2032" t="str">
        <f t="shared" si="290"/>
        <v>OFF</v>
      </c>
      <c r="Y2032" t="str">
        <f t="shared" si="290"/>
        <v>OFF</v>
      </c>
      <c r="Z2032" t="str">
        <f t="shared" si="290"/>
        <v>OFF</v>
      </c>
      <c r="AA2032" t="str">
        <f t="shared" si="290"/>
        <v>OFF</v>
      </c>
      <c r="AB2032" t="str">
        <f t="shared" si="290"/>
        <v>OFF</v>
      </c>
      <c r="AC2032" t="str">
        <f t="shared" si="290"/>
        <v>OFF</v>
      </c>
      <c r="AD2032" t="str">
        <f t="shared" si="290"/>
        <v>OFF</v>
      </c>
      <c r="AE2032" t="str">
        <f t="shared" si="290"/>
        <v>OFF</v>
      </c>
      <c r="AF2032" t="str">
        <f t="shared" si="290"/>
        <v>OFF</v>
      </c>
      <c r="AG2032" t="str">
        <f t="shared" si="290"/>
        <v>OFF</v>
      </c>
    </row>
    <row r="2033" spans="1:33">
      <c r="A2033" t="s">
        <v>2875</v>
      </c>
      <c r="B2033" t="str">
        <f t="shared" si="288"/>
        <v>OFF</v>
      </c>
      <c r="C2033" t="str">
        <f t="shared" si="288"/>
        <v>OFF</v>
      </c>
      <c r="D2033" t="str">
        <f t="shared" si="288"/>
        <v>OFF</v>
      </c>
      <c r="E2033" t="str">
        <f t="shared" si="288"/>
        <v>OFF</v>
      </c>
      <c r="F2033" t="str">
        <f t="shared" si="288"/>
        <v>OFF</v>
      </c>
      <c r="G2033" t="str">
        <f t="shared" si="288"/>
        <v>OFF</v>
      </c>
      <c r="H2033" t="str">
        <f t="shared" si="288"/>
        <v>OFF</v>
      </c>
      <c r="I2033" t="str">
        <f t="shared" si="288"/>
        <v>OFF</v>
      </c>
      <c r="J2033" t="str">
        <f t="shared" si="288"/>
        <v>OFF</v>
      </c>
      <c r="K2033" t="str">
        <f t="shared" si="288"/>
        <v>OFF</v>
      </c>
      <c r="L2033" t="str">
        <f t="shared" si="289"/>
        <v>OFF</v>
      </c>
      <c r="M2033" t="str">
        <f t="shared" si="289"/>
        <v>OFF</v>
      </c>
      <c r="N2033" t="str">
        <f t="shared" si="289"/>
        <v>OFF</v>
      </c>
      <c r="O2033" t="str">
        <f t="shared" si="289"/>
        <v>OFF</v>
      </c>
      <c r="P2033" t="str">
        <f t="shared" si="289"/>
        <v>OFF</v>
      </c>
      <c r="Q2033" t="str">
        <f t="shared" si="289"/>
        <v>OFF</v>
      </c>
      <c r="R2033" t="str">
        <f t="shared" si="289"/>
        <v>OFF</v>
      </c>
      <c r="S2033" t="str">
        <f t="shared" si="289"/>
        <v>OFF</v>
      </c>
      <c r="T2033" t="str">
        <f t="shared" si="289"/>
        <v>OFF</v>
      </c>
      <c r="U2033" t="str">
        <f t="shared" si="289"/>
        <v>OFF</v>
      </c>
      <c r="V2033" t="str">
        <f t="shared" si="290"/>
        <v>OFF</v>
      </c>
      <c r="W2033" t="str">
        <f t="shared" si="290"/>
        <v>OFF</v>
      </c>
      <c r="X2033" t="str">
        <f t="shared" si="290"/>
        <v>OFF</v>
      </c>
      <c r="Y2033" t="str">
        <f t="shared" si="290"/>
        <v>OFF</v>
      </c>
      <c r="Z2033" t="str">
        <f t="shared" si="290"/>
        <v>OFF</v>
      </c>
      <c r="AA2033" t="str">
        <f t="shared" si="290"/>
        <v>OFF</v>
      </c>
      <c r="AB2033" t="str">
        <f t="shared" si="290"/>
        <v>OFF</v>
      </c>
      <c r="AC2033" t="str">
        <f t="shared" si="290"/>
        <v>OFF</v>
      </c>
      <c r="AD2033" t="str">
        <f t="shared" si="290"/>
        <v>OFF</v>
      </c>
      <c r="AE2033" t="str">
        <f t="shared" si="290"/>
        <v>OFF</v>
      </c>
      <c r="AF2033" t="str">
        <f t="shared" si="290"/>
        <v>OFF</v>
      </c>
      <c r="AG2033" t="str">
        <f t="shared" si="290"/>
        <v>OFF</v>
      </c>
    </row>
    <row r="2034" spans="1:33">
      <c r="A2034" t="s">
        <v>2876</v>
      </c>
      <c r="B2034" t="str">
        <f t="shared" si="288"/>
        <v>OFF</v>
      </c>
      <c r="C2034" t="str">
        <f t="shared" si="288"/>
        <v>OFF</v>
      </c>
      <c r="D2034" t="str">
        <f t="shared" si="288"/>
        <v>OFF</v>
      </c>
      <c r="E2034" t="str">
        <f t="shared" si="288"/>
        <v>OFF</v>
      </c>
      <c r="F2034" t="str">
        <f t="shared" si="288"/>
        <v>OFF</v>
      </c>
      <c r="G2034" t="str">
        <f t="shared" si="288"/>
        <v>OFF</v>
      </c>
      <c r="H2034" t="str">
        <f t="shared" si="288"/>
        <v>OFF</v>
      </c>
      <c r="I2034" t="str">
        <f t="shared" si="288"/>
        <v>OFF</v>
      </c>
      <c r="J2034" t="str">
        <f t="shared" si="288"/>
        <v>OFF</v>
      </c>
      <c r="K2034" t="str">
        <f t="shared" si="288"/>
        <v>OFF</v>
      </c>
      <c r="L2034" t="str">
        <f t="shared" si="289"/>
        <v>OFF</v>
      </c>
      <c r="M2034" t="str">
        <f t="shared" si="289"/>
        <v>OFF</v>
      </c>
      <c r="N2034" t="str">
        <f t="shared" si="289"/>
        <v>OFF</v>
      </c>
      <c r="O2034" t="str">
        <f t="shared" si="289"/>
        <v>OFF</v>
      </c>
      <c r="P2034" t="str">
        <f t="shared" si="289"/>
        <v>OFF</v>
      </c>
      <c r="Q2034" t="str">
        <f t="shared" si="289"/>
        <v>OFF</v>
      </c>
      <c r="R2034" t="str">
        <f t="shared" si="289"/>
        <v>OFF</v>
      </c>
      <c r="S2034" t="str">
        <f t="shared" si="289"/>
        <v>OFF</v>
      </c>
      <c r="T2034" t="str">
        <f t="shared" si="289"/>
        <v>OFF</v>
      </c>
      <c r="U2034" t="str">
        <f t="shared" si="289"/>
        <v>OFF</v>
      </c>
      <c r="V2034" t="str">
        <f t="shared" si="290"/>
        <v>OFF</v>
      </c>
      <c r="W2034" t="str">
        <f t="shared" si="290"/>
        <v>OFF</v>
      </c>
      <c r="X2034" t="str">
        <f t="shared" si="290"/>
        <v>OFF</v>
      </c>
      <c r="Y2034" t="str">
        <f t="shared" si="290"/>
        <v>OFF</v>
      </c>
      <c r="Z2034" t="str">
        <f t="shared" si="290"/>
        <v>OFF</v>
      </c>
      <c r="AA2034" t="str">
        <f t="shared" si="290"/>
        <v>OFF</v>
      </c>
      <c r="AB2034" t="str">
        <f t="shared" si="290"/>
        <v>OFF</v>
      </c>
      <c r="AC2034" t="str">
        <f t="shared" si="290"/>
        <v>OFF</v>
      </c>
      <c r="AD2034" t="str">
        <f t="shared" si="290"/>
        <v>OFF</v>
      </c>
      <c r="AE2034" t="str">
        <f t="shared" si="290"/>
        <v>OFF</v>
      </c>
      <c r="AF2034" t="str">
        <f t="shared" si="290"/>
        <v>OFF</v>
      </c>
      <c r="AG2034" t="str">
        <f t="shared" si="290"/>
        <v>OFF</v>
      </c>
    </row>
    <row r="2035" spans="1:33">
      <c r="A2035" t="s">
        <v>2877</v>
      </c>
      <c r="B2035" t="str">
        <f t="shared" si="288"/>
        <v>OFF</v>
      </c>
      <c r="C2035" t="str">
        <f t="shared" si="288"/>
        <v>OFF</v>
      </c>
      <c r="D2035" t="str">
        <f t="shared" si="288"/>
        <v>OFF</v>
      </c>
      <c r="E2035" t="str">
        <f t="shared" si="288"/>
        <v>OFF</v>
      </c>
      <c r="F2035" t="str">
        <f t="shared" si="288"/>
        <v>OFF</v>
      </c>
      <c r="G2035" t="str">
        <f t="shared" si="288"/>
        <v>OFF</v>
      </c>
      <c r="H2035" t="str">
        <f t="shared" si="288"/>
        <v>OFF</v>
      </c>
      <c r="I2035" t="str">
        <f t="shared" si="288"/>
        <v>OFF</v>
      </c>
      <c r="J2035" t="str">
        <f t="shared" si="288"/>
        <v>OFF</v>
      </c>
      <c r="K2035" t="str">
        <f t="shared" si="288"/>
        <v>OFF</v>
      </c>
      <c r="L2035" t="str">
        <f t="shared" si="289"/>
        <v>OFF</v>
      </c>
      <c r="M2035" t="str">
        <f t="shared" si="289"/>
        <v>OFF</v>
      </c>
      <c r="N2035" t="str">
        <f t="shared" si="289"/>
        <v>OFF</v>
      </c>
      <c r="O2035" t="str">
        <f t="shared" si="289"/>
        <v>OFF</v>
      </c>
      <c r="P2035" t="str">
        <f t="shared" si="289"/>
        <v>OFF</v>
      </c>
      <c r="Q2035" t="str">
        <f t="shared" si="289"/>
        <v>OFF</v>
      </c>
      <c r="R2035" t="str">
        <f t="shared" si="289"/>
        <v>OFF</v>
      </c>
      <c r="S2035" t="str">
        <f t="shared" si="289"/>
        <v>OFF</v>
      </c>
      <c r="T2035" t="str">
        <f t="shared" si="289"/>
        <v>OFF</v>
      </c>
      <c r="U2035" t="str">
        <f t="shared" si="289"/>
        <v>OFF</v>
      </c>
      <c r="V2035" t="str">
        <f t="shared" si="290"/>
        <v>OFF</v>
      </c>
      <c r="W2035" t="str">
        <f t="shared" si="290"/>
        <v>OFF</v>
      </c>
      <c r="X2035" t="str">
        <f t="shared" si="290"/>
        <v>OFF</v>
      </c>
      <c r="Y2035" t="str">
        <f t="shared" si="290"/>
        <v>OFF</v>
      </c>
      <c r="Z2035" t="str">
        <f t="shared" si="290"/>
        <v>OFF</v>
      </c>
      <c r="AA2035" t="str">
        <f t="shared" si="290"/>
        <v>OFF</v>
      </c>
      <c r="AB2035" t="str">
        <f t="shared" si="290"/>
        <v>OFF</v>
      </c>
      <c r="AC2035" t="str">
        <f t="shared" si="290"/>
        <v>OFF</v>
      </c>
      <c r="AD2035" t="str">
        <f t="shared" si="290"/>
        <v>OFF</v>
      </c>
      <c r="AE2035" t="str">
        <f t="shared" si="290"/>
        <v>OFF</v>
      </c>
      <c r="AF2035" t="str">
        <f t="shared" si="290"/>
        <v>OFF</v>
      </c>
      <c r="AG2035" t="str">
        <f t="shared" si="290"/>
        <v>OFF</v>
      </c>
    </row>
    <row r="2036" spans="1:33">
      <c r="A2036" t="s">
        <v>2878</v>
      </c>
      <c r="B2036" t="str">
        <f t="shared" si="288"/>
        <v>OFF</v>
      </c>
      <c r="C2036" t="str">
        <f t="shared" si="288"/>
        <v>OFF</v>
      </c>
      <c r="D2036" t="str">
        <f t="shared" si="288"/>
        <v>OFF</v>
      </c>
      <c r="E2036" t="str">
        <f t="shared" si="288"/>
        <v>OFF</v>
      </c>
      <c r="F2036" t="str">
        <f t="shared" si="288"/>
        <v>OFF</v>
      </c>
      <c r="G2036" t="str">
        <f t="shared" si="288"/>
        <v>OFF</v>
      </c>
      <c r="H2036" t="str">
        <f t="shared" si="288"/>
        <v>OFF</v>
      </c>
      <c r="I2036" t="str">
        <f t="shared" si="288"/>
        <v>OFF</v>
      </c>
      <c r="J2036" t="str">
        <f t="shared" si="288"/>
        <v>OFF</v>
      </c>
      <c r="K2036" t="str">
        <f t="shared" si="288"/>
        <v>OFF</v>
      </c>
      <c r="L2036" t="str">
        <f t="shared" si="289"/>
        <v>OFF</v>
      </c>
      <c r="M2036" t="str">
        <f t="shared" si="289"/>
        <v>OFF</v>
      </c>
      <c r="N2036" t="str">
        <f t="shared" si="289"/>
        <v>OFF</v>
      </c>
      <c r="O2036" t="str">
        <f t="shared" si="289"/>
        <v>OFF</v>
      </c>
      <c r="P2036" t="str">
        <f t="shared" si="289"/>
        <v>OFF</v>
      </c>
      <c r="Q2036" t="str">
        <f t="shared" si="289"/>
        <v>OFF</v>
      </c>
      <c r="R2036" t="str">
        <f t="shared" si="289"/>
        <v>OFF</v>
      </c>
      <c r="S2036" t="str">
        <f t="shared" si="289"/>
        <v>OFF</v>
      </c>
      <c r="T2036" t="str">
        <f t="shared" si="289"/>
        <v>OFF</v>
      </c>
      <c r="U2036" t="str">
        <f t="shared" si="289"/>
        <v>OFF</v>
      </c>
      <c r="V2036" t="str">
        <f t="shared" si="290"/>
        <v>OFF</v>
      </c>
      <c r="W2036" t="str">
        <f t="shared" si="290"/>
        <v>OFF</v>
      </c>
      <c r="X2036" t="str">
        <f t="shared" si="290"/>
        <v>OFF</v>
      </c>
      <c r="Y2036" t="str">
        <f t="shared" si="290"/>
        <v>OFF</v>
      </c>
      <c r="Z2036" t="str">
        <f t="shared" si="290"/>
        <v>OFF</v>
      </c>
      <c r="AA2036" t="str">
        <f t="shared" si="290"/>
        <v>OFF</v>
      </c>
      <c r="AB2036" t="str">
        <f t="shared" si="290"/>
        <v>OFF</v>
      </c>
      <c r="AC2036" t="str">
        <f t="shared" si="290"/>
        <v>OFF</v>
      </c>
      <c r="AD2036" t="str">
        <f t="shared" si="290"/>
        <v>OFF</v>
      </c>
      <c r="AE2036" t="str">
        <f t="shared" si="290"/>
        <v>OFF</v>
      </c>
      <c r="AF2036" t="str">
        <f t="shared" si="290"/>
        <v>OFF</v>
      </c>
      <c r="AG2036" t="str">
        <f t="shared" si="290"/>
        <v>OFF</v>
      </c>
    </row>
    <row r="2037" spans="1:33">
      <c r="A2037" t="s">
        <v>2879</v>
      </c>
      <c r="B2037" t="str">
        <f t="shared" si="288"/>
        <v>OFF</v>
      </c>
      <c r="C2037" t="str">
        <f t="shared" si="288"/>
        <v>OFF</v>
      </c>
      <c r="D2037" t="str">
        <f t="shared" si="288"/>
        <v>OFF</v>
      </c>
      <c r="E2037" t="str">
        <f t="shared" si="288"/>
        <v>OFF</v>
      </c>
      <c r="F2037" t="str">
        <f t="shared" si="288"/>
        <v>OFF</v>
      </c>
      <c r="G2037" t="str">
        <f t="shared" si="288"/>
        <v>OFF</v>
      </c>
      <c r="H2037" t="str">
        <f t="shared" si="288"/>
        <v>OFF</v>
      </c>
      <c r="I2037" t="str">
        <f t="shared" si="288"/>
        <v>OFF</v>
      </c>
      <c r="J2037" t="str">
        <f t="shared" si="288"/>
        <v>OFF</v>
      </c>
      <c r="K2037" t="str">
        <f t="shared" si="288"/>
        <v>OFF</v>
      </c>
      <c r="L2037" t="str">
        <f t="shared" si="289"/>
        <v>OFF</v>
      </c>
      <c r="M2037" t="str">
        <f t="shared" si="289"/>
        <v>OFF</v>
      </c>
      <c r="N2037" t="str">
        <f t="shared" si="289"/>
        <v>OFF</v>
      </c>
      <c r="O2037" t="str">
        <f t="shared" si="289"/>
        <v>OFF</v>
      </c>
      <c r="P2037" t="str">
        <f t="shared" si="289"/>
        <v>OFF</v>
      </c>
      <c r="Q2037" t="str">
        <f t="shared" si="289"/>
        <v>OFF</v>
      </c>
      <c r="R2037" t="str">
        <f t="shared" si="289"/>
        <v>OFF</v>
      </c>
      <c r="S2037" t="str">
        <f t="shared" si="289"/>
        <v>OFF</v>
      </c>
      <c r="T2037" t="str">
        <f t="shared" si="289"/>
        <v>OFF</v>
      </c>
      <c r="U2037" t="str">
        <f t="shared" si="289"/>
        <v>OFF</v>
      </c>
      <c r="V2037" t="str">
        <f t="shared" si="290"/>
        <v>OFF</v>
      </c>
      <c r="W2037" t="str">
        <f t="shared" si="290"/>
        <v>OFF</v>
      </c>
      <c r="X2037" t="str">
        <f t="shared" si="290"/>
        <v>OFF</v>
      </c>
      <c r="Y2037" t="str">
        <f t="shared" si="290"/>
        <v>OFF</v>
      </c>
      <c r="Z2037" t="str">
        <f t="shared" si="290"/>
        <v>OFF</v>
      </c>
      <c r="AA2037" t="str">
        <f t="shared" si="290"/>
        <v>OFF</v>
      </c>
      <c r="AB2037" t="str">
        <f t="shared" si="290"/>
        <v>OFF</v>
      </c>
      <c r="AC2037" t="str">
        <f t="shared" si="290"/>
        <v>OFF</v>
      </c>
      <c r="AD2037" t="str">
        <f t="shared" si="290"/>
        <v>OFF</v>
      </c>
      <c r="AE2037" t="str">
        <f t="shared" si="290"/>
        <v>OFF</v>
      </c>
      <c r="AF2037" t="str">
        <f t="shared" si="290"/>
        <v>OFF</v>
      </c>
      <c r="AG2037" t="str">
        <f t="shared" si="290"/>
        <v>OFF</v>
      </c>
    </row>
    <row r="2038" spans="1:33">
      <c r="A2038" t="s">
        <v>2880</v>
      </c>
      <c r="B2038" t="str">
        <f t="shared" si="288"/>
        <v>OFF</v>
      </c>
      <c r="C2038" t="str">
        <f t="shared" si="288"/>
        <v>OFF</v>
      </c>
      <c r="D2038" t="str">
        <f t="shared" si="288"/>
        <v>OFF</v>
      </c>
      <c r="E2038" t="str">
        <f t="shared" si="288"/>
        <v>OFF</v>
      </c>
      <c r="F2038" t="str">
        <f t="shared" si="288"/>
        <v>OFF</v>
      </c>
      <c r="G2038" t="str">
        <f t="shared" si="288"/>
        <v>OFF</v>
      </c>
      <c r="H2038" t="str">
        <f t="shared" si="288"/>
        <v>OFF</v>
      </c>
      <c r="I2038" t="str">
        <f t="shared" si="288"/>
        <v>OFF</v>
      </c>
      <c r="J2038" t="str">
        <f t="shared" si="288"/>
        <v>OFF</v>
      </c>
      <c r="K2038" t="str">
        <f t="shared" si="288"/>
        <v>OFF</v>
      </c>
      <c r="L2038" t="str">
        <f t="shared" si="289"/>
        <v>OFF</v>
      </c>
      <c r="M2038" t="str">
        <f t="shared" si="289"/>
        <v>OFF</v>
      </c>
      <c r="N2038" t="str">
        <f t="shared" si="289"/>
        <v>OFF</v>
      </c>
      <c r="O2038" t="str">
        <f t="shared" si="289"/>
        <v>OFF</v>
      </c>
      <c r="P2038" t="str">
        <f t="shared" si="289"/>
        <v>OFF</v>
      </c>
      <c r="Q2038" t="str">
        <f t="shared" si="289"/>
        <v>OFF</v>
      </c>
      <c r="R2038" t="str">
        <f t="shared" si="289"/>
        <v>OFF</v>
      </c>
      <c r="S2038" t="str">
        <f t="shared" si="289"/>
        <v>OFF</v>
      </c>
      <c r="T2038" t="str">
        <f t="shared" si="289"/>
        <v>OFF</v>
      </c>
      <c r="U2038" t="str">
        <f t="shared" si="289"/>
        <v>OFF</v>
      </c>
      <c r="V2038" t="str">
        <f t="shared" si="290"/>
        <v>OFF</v>
      </c>
      <c r="W2038" t="str">
        <f t="shared" si="290"/>
        <v>OFF</v>
      </c>
      <c r="X2038" t="str">
        <f t="shared" si="290"/>
        <v>OFF</v>
      </c>
      <c r="Y2038" t="str">
        <f t="shared" si="290"/>
        <v>OFF</v>
      </c>
      <c r="Z2038" t="str">
        <f t="shared" si="290"/>
        <v>OFF</v>
      </c>
      <c r="AA2038" t="str">
        <f t="shared" si="290"/>
        <v>OFF</v>
      </c>
      <c r="AB2038" t="str">
        <f t="shared" si="290"/>
        <v>OFF</v>
      </c>
      <c r="AC2038" t="str">
        <f t="shared" si="290"/>
        <v>OFF</v>
      </c>
      <c r="AD2038" t="str">
        <f t="shared" si="290"/>
        <v>OFF</v>
      </c>
      <c r="AE2038" t="str">
        <f t="shared" si="290"/>
        <v>OFF</v>
      </c>
      <c r="AF2038" t="str">
        <f t="shared" si="290"/>
        <v>OFF</v>
      </c>
      <c r="AG2038" t="str">
        <f t="shared" si="290"/>
        <v>OFF</v>
      </c>
    </row>
    <row r="2039" spans="1:33">
      <c r="A2039" t="s">
        <v>2881</v>
      </c>
      <c r="B2039" t="str">
        <f t="shared" ref="B2039:K2048" si="291">"OFF"</f>
        <v>OFF</v>
      </c>
      <c r="C2039" t="str">
        <f t="shared" si="291"/>
        <v>OFF</v>
      </c>
      <c r="D2039" t="str">
        <f t="shared" si="291"/>
        <v>OFF</v>
      </c>
      <c r="E2039" t="str">
        <f t="shared" si="291"/>
        <v>OFF</v>
      </c>
      <c r="F2039" t="str">
        <f t="shared" si="291"/>
        <v>OFF</v>
      </c>
      <c r="G2039" t="str">
        <f t="shared" si="291"/>
        <v>OFF</v>
      </c>
      <c r="H2039" t="str">
        <f t="shared" si="291"/>
        <v>OFF</v>
      </c>
      <c r="I2039" t="str">
        <f t="shared" si="291"/>
        <v>OFF</v>
      </c>
      <c r="J2039" t="str">
        <f t="shared" si="291"/>
        <v>OFF</v>
      </c>
      <c r="K2039" t="str">
        <f t="shared" si="291"/>
        <v>OFF</v>
      </c>
      <c r="L2039" t="str">
        <f t="shared" ref="L2039:U2048" si="292">"OFF"</f>
        <v>OFF</v>
      </c>
      <c r="M2039" t="str">
        <f t="shared" si="292"/>
        <v>OFF</v>
      </c>
      <c r="N2039" t="str">
        <f t="shared" si="292"/>
        <v>OFF</v>
      </c>
      <c r="O2039" t="str">
        <f t="shared" si="292"/>
        <v>OFF</v>
      </c>
      <c r="P2039" t="str">
        <f t="shared" si="292"/>
        <v>OFF</v>
      </c>
      <c r="Q2039" t="str">
        <f t="shared" si="292"/>
        <v>OFF</v>
      </c>
      <c r="R2039" t="str">
        <f t="shared" si="292"/>
        <v>OFF</v>
      </c>
      <c r="S2039" t="str">
        <f t="shared" si="292"/>
        <v>OFF</v>
      </c>
      <c r="T2039" t="str">
        <f t="shared" si="292"/>
        <v>OFF</v>
      </c>
      <c r="U2039" t="str">
        <f t="shared" si="292"/>
        <v>OFF</v>
      </c>
      <c r="V2039" t="str">
        <f t="shared" ref="V2039:AG2048" si="293">"OFF"</f>
        <v>OFF</v>
      </c>
      <c r="W2039" t="str">
        <f t="shared" si="293"/>
        <v>OFF</v>
      </c>
      <c r="X2039" t="str">
        <f t="shared" si="293"/>
        <v>OFF</v>
      </c>
      <c r="Y2039" t="str">
        <f t="shared" si="293"/>
        <v>OFF</v>
      </c>
      <c r="Z2039" t="str">
        <f t="shared" si="293"/>
        <v>OFF</v>
      </c>
      <c r="AA2039" t="str">
        <f t="shared" si="293"/>
        <v>OFF</v>
      </c>
      <c r="AB2039" t="str">
        <f t="shared" si="293"/>
        <v>OFF</v>
      </c>
      <c r="AC2039" t="str">
        <f t="shared" si="293"/>
        <v>OFF</v>
      </c>
      <c r="AD2039" t="str">
        <f t="shared" si="293"/>
        <v>OFF</v>
      </c>
      <c r="AE2039" t="str">
        <f t="shared" si="293"/>
        <v>OFF</v>
      </c>
      <c r="AF2039" t="str">
        <f t="shared" si="293"/>
        <v>OFF</v>
      </c>
      <c r="AG2039" t="str">
        <f t="shared" si="293"/>
        <v>OFF</v>
      </c>
    </row>
    <row r="2040" spans="1:33">
      <c r="A2040" t="s">
        <v>2882</v>
      </c>
      <c r="B2040" t="str">
        <f t="shared" si="291"/>
        <v>OFF</v>
      </c>
      <c r="C2040" t="str">
        <f t="shared" si="291"/>
        <v>OFF</v>
      </c>
      <c r="D2040" t="str">
        <f t="shared" si="291"/>
        <v>OFF</v>
      </c>
      <c r="E2040" t="str">
        <f t="shared" si="291"/>
        <v>OFF</v>
      </c>
      <c r="F2040" t="str">
        <f t="shared" si="291"/>
        <v>OFF</v>
      </c>
      <c r="G2040" t="str">
        <f t="shared" si="291"/>
        <v>OFF</v>
      </c>
      <c r="H2040" t="str">
        <f t="shared" si="291"/>
        <v>OFF</v>
      </c>
      <c r="I2040" t="str">
        <f t="shared" si="291"/>
        <v>OFF</v>
      </c>
      <c r="J2040" t="str">
        <f t="shared" si="291"/>
        <v>OFF</v>
      </c>
      <c r="K2040" t="str">
        <f t="shared" si="291"/>
        <v>OFF</v>
      </c>
      <c r="L2040" t="str">
        <f t="shared" si="292"/>
        <v>OFF</v>
      </c>
      <c r="M2040" t="str">
        <f t="shared" si="292"/>
        <v>OFF</v>
      </c>
      <c r="N2040" t="str">
        <f t="shared" si="292"/>
        <v>OFF</v>
      </c>
      <c r="O2040" t="str">
        <f t="shared" si="292"/>
        <v>OFF</v>
      </c>
      <c r="P2040" t="str">
        <f t="shared" si="292"/>
        <v>OFF</v>
      </c>
      <c r="Q2040" t="str">
        <f t="shared" si="292"/>
        <v>OFF</v>
      </c>
      <c r="R2040" t="str">
        <f t="shared" si="292"/>
        <v>OFF</v>
      </c>
      <c r="S2040" t="str">
        <f t="shared" si="292"/>
        <v>OFF</v>
      </c>
      <c r="T2040" t="str">
        <f t="shared" si="292"/>
        <v>OFF</v>
      </c>
      <c r="U2040" t="str">
        <f t="shared" si="292"/>
        <v>OFF</v>
      </c>
      <c r="V2040" t="str">
        <f t="shared" si="293"/>
        <v>OFF</v>
      </c>
      <c r="W2040" t="str">
        <f t="shared" si="293"/>
        <v>OFF</v>
      </c>
      <c r="X2040" t="str">
        <f t="shared" si="293"/>
        <v>OFF</v>
      </c>
      <c r="Y2040" t="str">
        <f t="shared" si="293"/>
        <v>OFF</v>
      </c>
      <c r="Z2040" t="str">
        <f t="shared" si="293"/>
        <v>OFF</v>
      </c>
      <c r="AA2040" t="str">
        <f t="shared" si="293"/>
        <v>OFF</v>
      </c>
      <c r="AB2040" t="str">
        <f t="shared" si="293"/>
        <v>OFF</v>
      </c>
      <c r="AC2040" t="str">
        <f t="shared" si="293"/>
        <v>OFF</v>
      </c>
      <c r="AD2040" t="str">
        <f t="shared" si="293"/>
        <v>OFF</v>
      </c>
      <c r="AE2040" t="str">
        <f t="shared" si="293"/>
        <v>OFF</v>
      </c>
      <c r="AF2040" t="str">
        <f t="shared" si="293"/>
        <v>OFF</v>
      </c>
      <c r="AG2040" t="str">
        <f t="shared" si="293"/>
        <v>OFF</v>
      </c>
    </row>
    <row r="2041" spans="1:33">
      <c r="A2041" t="s">
        <v>2883</v>
      </c>
      <c r="B2041" t="str">
        <f t="shared" si="291"/>
        <v>OFF</v>
      </c>
      <c r="C2041" t="str">
        <f t="shared" si="291"/>
        <v>OFF</v>
      </c>
      <c r="D2041" t="str">
        <f t="shared" si="291"/>
        <v>OFF</v>
      </c>
      <c r="E2041" t="str">
        <f t="shared" si="291"/>
        <v>OFF</v>
      </c>
      <c r="F2041" t="str">
        <f t="shared" si="291"/>
        <v>OFF</v>
      </c>
      <c r="G2041" t="str">
        <f t="shared" si="291"/>
        <v>OFF</v>
      </c>
      <c r="H2041" t="str">
        <f t="shared" si="291"/>
        <v>OFF</v>
      </c>
      <c r="I2041" t="str">
        <f t="shared" si="291"/>
        <v>OFF</v>
      </c>
      <c r="J2041" t="str">
        <f t="shared" si="291"/>
        <v>OFF</v>
      </c>
      <c r="K2041" t="str">
        <f t="shared" si="291"/>
        <v>OFF</v>
      </c>
      <c r="L2041" t="str">
        <f t="shared" si="292"/>
        <v>OFF</v>
      </c>
      <c r="M2041" t="str">
        <f t="shared" si="292"/>
        <v>OFF</v>
      </c>
      <c r="N2041" t="str">
        <f t="shared" si="292"/>
        <v>OFF</v>
      </c>
      <c r="O2041" t="str">
        <f t="shared" si="292"/>
        <v>OFF</v>
      </c>
      <c r="P2041" t="str">
        <f t="shared" si="292"/>
        <v>OFF</v>
      </c>
      <c r="Q2041" t="str">
        <f t="shared" si="292"/>
        <v>OFF</v>
      </c>
      <c r="R2041" t="str">
        <f t="shared" si="292"/>
        <v>OFF</v>
      </c>
      <c r="S2041" t="str">
        <f t="shared" si="292"/>
        <v>OFF</v>
      </c>
      <c r="T2041" t="str">
        <f t="shared" si="292"/>
        <v>OFF</v>
      </c>
      <c r="U2041" t="str">
        <f t="shared" si="292"/>
        <v>OFF</v>
      </c>
      <c r="V2041" t="str">
        <f t="shared" si="293"/>
        <v>OFF</v>
      </c>
      <c r="W2041" t="str">
        <f t="shared" si="293"/>
        <v>OFF</v>
      </c>
      <c r="X2041" t="str">
        <f t="shared" si="293"/>
        <v>OFF</v>
      </c>
      <c r="Y2041" t="str">
        <f t="shared" si="293"/>
        <v>OFF</v>
      </c>
      <c r="Z2041" t="str">
        <f t="shared" si="293"/>
        <v>OFF</v>
      </c>
      <c r="AA2041" t="str">
        <f t="shared" si="293"/>
        <v>OFF</v>
      </c>
      <c r="AB2041" t="str">
        <f t="shared" si="293"/>
        <v>OFF</v>
      </c>
      <c r="AC2041" t="str">
        <f t="shared" si="293"/>
        <v>OFF</v>
      </c>
      <c r="AD2041" t="str">
        <f t="shared" si="293"/>
        <v>OFF</v>
      </c>
      <c r="AE2041" t="str">
        <f t="shared" si="293"/>
        <v>OFF</v>
      </c>
      <c r="AF2041" t="str">
        <f t="shared" si="293"/>
        <v>OFF</v>
      </c>
      <c r="AG2041" t="str">
        <f t="shared" si="293"/>
        <v>OFF</v>
      </c>
    </row>
    <row r="2042" spans="1:33">
      <c r="A2042" t="s">
        <v>2884</v>
      </c>
      <c r="B2042" t="str">
        <f t="shared" si="291"/>
        <v>OFF</v>
      </c>
      <c r="C2042" t="str">
        <f t="shared" si="291"/>
        <v>OFF</v>
      </c>
      <c r="D2042" t="str">
        <f t="shared" si="291"/>
        <v>OFF</v>
      </c>
      <c r="E2042" t="str">
        <f t="shared" si="291"/>
        <v>OFF</v>
      </c>
      <c r="F2042" t="str">
        <f t="shared" si="291"/>
        <v>OFF</v>
      </c>
      <c r="G2042" t="str">
        <f t="shared" si="291"/>
        <v>OFF</v>
      </c>
      <c r="H2042" t="str">
        <f t="shared" si="291"/>
        <v>OFF</v>
      </c>
      <c r="I2042" t="str">
        <f t="shared" si="291"/>
        <v>OFF</v>
      </c>
      <c r="J2042" t="str">
        <f t="shared" si="291"/>
        <v>OFF</v>
      </c>
      <c r="K2042" t="str">
        <f t="shared" si="291"/>
        <v>OFF</v>
      </c>
      <c r="L2042" t="str">
        <f t="shared" si="292"/>
        <v>OFF</v>
      </c>
      <c r="M2042" t="str">
        <f t="shared" si="292"/>
        <v>OFF</v>
      </c>
      <c r="N2042" t="str">
        <f t="shared" si="292"/>
        <v>OFF</v>
      </c>
      <c r="O2042" t="str">
        <f t="shared" si="292"/>
        <v>OFF</v>
      </c>
      <c r="P2042" t="str">
        <f t="shared" si="292"/>
        <v>OFF</v>
      </c>
      <c r="Q2042" t="str">
        <f t="shared" si="292"/>
        <v>OFF</v>
      </c>
      <c r="R2042" t="str">
        <f t="shared" si="292"/>
        <v>OFF</v>
      </c>
      <c r="S2042" t="str">
        <f t="shared" si="292"/>
        <v>OFF</v>
      </c>
      <c r="T2042" t="str">
        <f t="shared" si="292"/>
        <v>OFF</v>
      </c>
      <c r="U2042" t="str">
        <f t="shared" si="292"/>
        <v>OFF</v>
      </c>
      <c r="V2042" t="str">
        <f t="shared" si="293"/>
        <v>OFF</v>
      </c>
      <c r="W2042" t="str">
        <f t="shared" si="293"/>
        <v>OFF</v>
      </c>
      <c r="X2042" t="str">
        <f t="shared" si="293"/>
        <v>OFF</v>
      </c>
      <c r="Y2042" t="str">
        <f t="shared" si="293"/>
        <v>OFF</v>
      </c>
      <c r="Z2042" t="str">
        <f t="shared" si="293"/>
        <v>OFF</v>
      </c>
      <c r="AA2042" t="str">
        <f t="shared" si="293"/>
        <v>OFF</v>
      </c>
      <c r="AB2042" t="str">
        <f t="shared" si="293"/>
        <v>OFF</v>
      </c>
      <c r="AC2042" t="str">
        <f t="shared" si="293"/>
        <v>OFF</v>
      </c>
      <c r="AD2042" t="str">
        <f t="shared" si="293"/>
        <v>OFF</v>
      </c>
      <c r="AE2042" t="str">
        <f t="shared" si="293"/>
        <v>OFF</v>
      </c>
      <c r="AF2042" t="str">
        <f t="shared" si="293"/>
        <v>OFF</v>
      </c>
      <c r="AG2042" t="str">
        <f t="shared" si="293"/>
        <v>OFF</v>
      </c>
    </row>
    <row r="2043" spans="1:33">
      <c r="A2043" t="s">
        <v>2885</v>
      </c>
      <c r="B2043" t="str">
        <f t="shared" si="291"/>
        <v>OFF</v>
      </c>
      <c r="C2043" t="str">
        <f t="shared" si="291"/>
        <v>OFF</v>
      </c>
      <c r="D2043" t="str">
        <f t="shared" si="291"/>
        <v>OFF</v>
      </c>
      <c r="E2043" t="str">
        <f t="shared" si="291"/>
        <v>OFF</v>
      </c>
      <c r="F2043" t="str">
        <f t="shared" si="291"/>
        <v>OFF</v>
      </c>
      <c r="G2043" t="str">
        <f t="shared" si="291"/>
        <v>OFF</v>
      </c>
      <c r="H2043" t="str">
        <f t="shared" si="291"/>
        <v>OFF</v>
      </c>
      <c r="I2043" t="str">
        <f t="shared" si="291"/>
        <v>OFF</v>
      </c>
      <c r="J2043" t="str">
        <f t="shared" si="291"/>
        <v>OFF</v>
      </c>
      <c r="K2043" t="str">
        <f t="shared" si="291"/>
        <v>OFF</v>
      </c>
      <c r="L2043" t="str">
        <f t="shared" si="292"/>
        <v>OFF</v>
      </c>
      <c r="M2043" t="str">
        <f t="shared" si="292"/>
        <v>OFF</v>
      </c>
      <c r="N2043" t="str">
        <f t="shared" si="292"/>
        <v>OFF</v>
      </c>
      <c r="O2043" t="str">
        <f t="shared" si="292"/>
        <v>OFF</v>
      </c>
      <c r="P2043" t="str">
        <f t="shared" si="292"/>
        <v>OFF</v>
      </c>
      <c r="Q2043" t="str">
        <f t="shared" si="292"/>
        <v>OFF</v>
      </c>
      <c r="R2043" t="str">
        <f t="shared" si="292"/>
        <v>OFF</v>
      </c>
      <c r="S2043" t="str">
        <f t="shared" si="292"/>
        <v>OFF</v>
      </c>
      <c r="T2043" t="str">
        <f t="shared" si="292"/>
        <v>OFF</v>
      </c>
      <c r="U2043" t="str">
        <f t="shared" si="292"/>
        <v>OFF</v>
      </c>
      <c r="V2043" t="str">
        <f t="shared" si="293"/>
        <v>OFF</v>
      </c>
      <c r="W2043" t="str">
        <f t="shared" si="293"/>
        <v>OFF</v>
      </c>
      <c r="X2043" t="str">
        <f t="shared" si="293"/>
        <v>OFF</v>
      </c>
      <c r="Y2043" t="str">
        <f t="shared" si="293"/>
        <v>OFF</v>
      </c>
      <c r="Z2043" t="str">
        <f t="shared" si="293"/>
        <v>OFF</v>
      </c>
      <c r="AA2043" t="str">
        <f t="shared" si="293"/>
        <v>OFF</v>
      </c>
      <c r="AB2043" t="str">
        <f t="shared" si="293"/>
        <v>OFF</v>
      </c>
      <c r="AC2043" t="str">
        <f t="shared" si="293"/>
        <v>OFF</v>
      </c>
      <c r="AD2043" t="str">
        <f t="shared" si="293"/>
        <v>OFF</v>
      </c>
      <c r="AE2043" t="str">
        <f t="shared" si="293"/>
        <v>OFF</v>
      </c>
      <c r="AF2043" t="str">
        <f t="shared" si="293"/>
        <v>OFF</v>
      </c>
      <c r="AG2043" t="str">
        <f t="shared" si="293"/>
        <v>OFF</v>
      </c>
    </row>
    <row r="2044" spans="1:33">
      <c r="A2044" t="s">
        <v>2886</v>
      </c>
      <c r="B2044" t="str">
        <f t="shared" si="291"/>
        <v>OFF</v>
      </c>
      <c r="C2044" t="str">
        <f t="shared" si="291"/>
        <v>OFF</v>
      </c>
      <c r="D2044" t="str">
        <f t="shared" si="291"/>
        <v>OFF</v>
      </c>
      <c r="E2044" t="str">
        <f t="shared" si="291"/>
        <v>OFF</v>
      </c>
      <c r="F2044" t="str">
        <f t="shared" si="291"/>
        <v>OFF</v>
      </c>
      <c r="G2044" t="str">
        <f t="shared" si="291"/>
        <v>OFF</v>
      </c>
      <c r="H2044" t="str">
        <f t="shared" si="291"/>
        <v>OFF</v>
      </c>
      <c r="I2044" t="str">
        <f t="shared" si="291"/>
        <v>OFF</v>
      </c>
      <c r="J2044" t="str">
        <f t="shared" si="291"/>
        <v>OFF</v>
      </c>
      <c r="K2044" t="str">
        <f t="shared" si="291"/>
        <v>OFF</v>
      </c>
      <c r="L2044" t="str">
        <f t="shared" si="292"/>
        <v>OFF</v>
      </c>
      <c r="M2044" t="str">
        <f t="shared" si="292"/>
        <v>OFF</v>
      </c>
      <c r="N2044" t="str">
        <f t="shared" si="292"/>
        <v>OFF</v>
      </c>
      <c r="O2044" t="str">
        <f t="shared" si="292"/>
        <v>OFF</v>
      </c>
      <c r="P2044" t="str">
        <f t="shared" si="292"/>
        <v>OFF</v>
      </c>
      <c r="Q2044" t="str">
        <f t="shared" si="292"/>
        <v>OFF</v>
      </c>
      <c r="R2044" t="str">
        <f t="shared" si="292"/>
        <v>OFF</v>
      </c>
      <c r="S2044" t="str">
        <f t="shared" si="292"/>
        <v>OFF</v>
      </c>
      <c r="T2044" t="str">
        <f t="shared" si="292"/>
        <v>OFF</v>
      </c>
      <c r="U2044" t="str">
        <f t="shared" si="292"/>
        <v>OFF</v>
      </c>
      <c r="V2044" t="str">
        <f t="shared" si="293"/>
        <v>OFF</v>
      </c>
      <c r="W2044" t="str">
        <f t="shared" si="293"/>
        <v>OFF</v>
      </c>
      <c r="X2044" t="str">
        <f t="shared" si="293"/>
        <v>OFF</v>
      </c>
      <c r="Y2044" t="str">
        <f t="shared" si="293"/>
        <v>OFF</v>
      </c>
      <c r="Z2044" t="str">
        <f t="shared" si="293"/>
        <v>OFF</v>
      </c>
      <c r="AA2044" t="str">
        <f t="shared" si="293"/>
        <v>OFF</v>
      </c>
      <c r="AB2044" t="str">
        <f t="shared" si="293"/>
        <v>OFF</v>
      </c>
      <c r="AC2044" t="str">
        <f t="shared" si="293"/>
        <v>OFF</v>
      </c>
      <c r="AD2044" t="str">
        <f t="shared" si="293"/>
        <v>OFF</v>
      </c>
      <c r="AE2044" t="str">
        <f t="shared" si="293"/>
        <v>OFF</v>
      </c>
      <c r="AF2044" t="str">
        <f t="shared" si="293"/>
        <v>OFF</v>
      </c>
      <c r="AG2044" t="str">
        <f t="shared" si="293"/>
        <v>OFF</v>
      </c>
    </row>
    <row r="2045" spans="1:33">
      <c r="A2045" t="s">
        <v>2887</v>
      </c>
      <c r="B2045" t="str">
        <f t="shared" si="291"/>
        <v>OFF</v>
      </c>
      <c r="C2045" t="str">
        <f t="shared" si="291"/>
        <v>OFF</v>
      </c>
      <c r="D2045" t="str">
        <f t="shared" si="291"/>
        <v>OFF</v>
      </c>
      <c r="E2045" t="str">
        <f t="shared" si="291"/>
        <v>OFF</v>
      </c>
      <c r="F2045" t="str">
        <f t="shared" si="291"/>
        <v>OFF</v>
      </c>
      <c r="G2045" t="str">
        <f t="shared" si="291"/>
        <v>OFF</v>
      </c>
      <c r="H2045" t="str">
        <f t="shared" si="291"/>
        <v>OFF</v>
      </c>
      <c r="I2045" t="str">
        <f t="shared" si="291"/>
        <v>OFF</v>
      </c>
      <c r="J2045" t="str">
        <f t="shared" si="291"/>
        <v>OFF</v>
      </c>
      <c r="K2045" t="str">
        <f t="shared" si="291"/>
        <v>OFF</v>
      </c>
      <c r="L2045" t="str">
        <f t="shared" si="292"/>
        <v>OFF</v>
      </c>
      <c r="M2045" t="str">
        <f t="shared" si="292"/>
        <v>OFF</v>
      </c>
      <c r="N2045" t="str">
        <f t="shared" si="292"/>
        <v>OFF</v>
      </c>
      <c r="O2045" t="str">
        <f t="shared" si="292"/>
        <v>OFF</v>
      </c>
      <c r="P2045" t="str">
        <f t="shared" si="292"/>
        <v>OFF</v>
      </c>
      <c r="Q2045" t="str">
        <f t="shared" si="292"/>
        <v>OFF</v>
      </c>
      <c r="R2045" t="str">
        <f t="shared" si="292"/>
        <v>OFF</v>
      </c>
      <c r="S2045" t="str">
        <f t="shared" si="292"/>
        <v>OFF</v>
      </c>
      <c r="T2045" t="str">
        <f t="shared" si="292"/>
        <v>OFF</v>
      </c>
      <c r="U2045" t="str">
        <f t="shared" si="292"/>
        <v>OFF</v>
      </c>
      <c r="V2045" t="str">
        <f t="shared" si="293"/>
        <v>OFF</v>
      </c>
      <c r="W2045" t="str">
        <f t="shared" si="293"/>
        <v>OFF</v>
      </c>
      <c r="X2045" t="str">
        <f t="shared" si="293"/>
        <v>OFF</v>
      </c>
      <c r="Y2045" t="str">
        <f t="shared" si="293"/>
        <v>OFF</v>
      </c>
      <c r="Z2045" t="str">
        <f t="shared" si="293"/>
        <v>OFF</v>
      </c>
      <c r="AA2045" t="str">
        <f t="shared" si="293"/>
        <v>OFF</v>
      </c>
      <c r="AB2045" t="str">
        <f t="shared" si="293"/>
        <v>OFF</v>
      </c>
      <c r="AC2045" t="str">
        <f t="shared" si="293"/>
        <v>OFF</v>
      </c>
      <c r="AD2045" t="str">
        <f t="shared" si="293"/>
        <v>OFF</v>
      </c>
      <c r="AE2045" t="str">
        <f t="shared" si="293"/>
        <v>OFF</v>
      </c>
      <c r="AF2045" t="str">
        <f t="shared" si="293"/>
        <v>OFF</v>
      </c>
      <c r="AG2045" t="str">
        <f t="shared" si="293"/>
        <v>OFF</v>
      </c>
    </row>
    <row r="2046" spans="1:33">
      <c r="A2046" t="s">
        <v>2888</v>
      </c>
      <c r="B2046" t="str">
        <f t="shared" si="291"/>
        <v>OFF</v>
      </c>
      <c r="C2046" t="str">
        <f t="shared" si="291"/>
        <v>OFF</v>
      </c>
      <c r="D2046" t="str">
        <f t="shared" si="291"/>
        <v>OFF</v>
      </c>
      <c r="E2046" t="str">
        <f t="shared" si="291"/>
        <v>OFF</v>
      </c>
      <c r="F2046" t="str">
        <f t="shared" si="291"/>
        <v>OFF</v>
      </c>
      <c r="G2046" t="str">
        <f t="shared" si="291"/>
        <v>OFF</v>
      </c>
      <c r="H2046" t="str">
        <f t="shared" si="291"/>
        <v>OFF</v>
      </c>
      <c r="I2046" t="str">
        <f t="shared" si="291"/>
        <v>OFF</v>
      </c>
      <c r="J2046" t="str">
        <f t="shared" si="291"/>
        <v>OFF</v>
      </c>
      <c r="K2046" t="str">
        <f t="shared" si="291"/>
        <v>OFF</v>
      </c>
      <c r="L2046" t="str">
        <f t="shared" si="292"/>
        <v>OFF</v>
      </c>
      <c r="M2046" t="str">
        <f t="shared" si="292"/>
        <v>OFF</v>
      </c>
      <c r="N2046" t="str">
        <f t="shared" si="292"/>
        <v>OFF</v>
      </c>
      <c r="O2046" t="str">
        <f t="shared" si="292"/>
        <v>OFF</v>
      </c>
      <c r="P2046" t="str">
        <f t="shared" si="292"/>
        <v>OFF</v>
      </c>
      <c r="Q2046" t="str">
        <f t="shared" si="292"/>
        <v>OFF</v>
      </c>
      <c r="R2046" t="str">
        <f t="shared" si="292"/>
        <v>OFF</v>
      </c>
      <c r="S2046" t="str">
        <f t="shared" si="292"/>
        <v>OFF</v>
      </c>
      <c r="T2046" t="str">
        <f t="shared" si="292"/>
        <v>OFF</v>
      </c>
      <c r="U2046" t="str">
        <f t="shared" si="292"/>
        <v>OFF</v>
      </c>
      <c r="V2046" t="str">
        <f t="shared" si="293"/>
        <v>OFF</v>
      </c>
      <c r="W2046" t="str">
        <f t="shared" si="293"/>
        <v>OFF</v>
      </c>
      <c r="X2046" t="str">
        <f t="shared" si="293"/>
        <v>OFF</v>
      </c>
      <c r="Y2046" t="str">
        <f t="shared" si="293"/>
        <v>OFF</v>
      </c>
      <c r="Z2046" t="str">
        <f t="shared" si="293"/>
        <v>OFF</v>
      </c>
      <c r="AA2046" t="str">
        <f t="shared" si="293"/>
        <v>OFF</v>
      </c>
      <c r="AB2046" t="str">
        <f t="shared" si="293"/>
        <v>OFF</v>
      </c>
      <c r="AC2046" t="str">
        <f t="shared" si="293"/>
        <v>OFF</v>
      </c>
      <c r="AD2046" t="str">
        <f t="shared" si="293"/>
        <v>OFF</v>
      </c>
      <c r="AE2046" t="str">
        <f t="shared" si="293"/>
        <v>OFF</v>
      </c>
      <c r="AF2046" t="str">
        <f t="shared" si="293"/>
        <v>OFF</v>
      </c>
      <c r="AG2046" t="str">
        <f t="shared" si="293"/>
        <v>OFF</v>
      </c>
    </row>
    <row r="2047" spans="1:33">
      <c r="A2047" t="s">
        <v>2889</v>
      </c>
      <c r="B2047" t="str">
        <f t="shared" si="291"/>
        <v>OFF</v>
      </c>
      <c r="C2047" t="str">
        <f t="shared" si="291"/>
        <v>OFF</v>
      </c>
      <c r="D2047" t="str">
        <f t="shared" si="291"/>
        <v>OFF</v>
      </c>
      <c r="E2047" t="str">
        <f t="shared" si="291"/>
        <v>OFF</v>
      </c>
      <c r="F2047" t="str">
        <f t="shared" si="291"/>
        <v>OFF</v>
      </c>
      <c r="G2047" t="str">
        <f t="shared" si="291"/>
        <v>OFF</v>
      </c>
      <c r="H2047" t="str">
        <f t="shared" si="291"/>
        <v>OFF</v>
      </c>
      <c r="I2047" t="str">
        <f t="shared" si="291"/>
        <v>OFF</v>
      </c>
      <c r="J2047" t="str">
        <f t="shared" si="291"/>
        <v>OFF</v>
      </c>
      <c r="K2047" t="str">
        <f t="shared" si="291"/>
        <v>OFF</v>
      </c>
      <c r="L2047" t="str">
        <f t="shared" si="292"/>
        <v>OFF</v>
      </c>
      <c r="M2047" t="str">
        <f t="shared" si="292"/>
        <v>OFF</v>
      </c>
      <c r="N2047" t="str">
        <f t="shared" si="292"/>
        <v>OFF</v>
      </c>
      <c r="O2047" t="str">
        <f t="shared" si="292"/>
        <v>OFF</v>
      </c>
      <c r="P2047" t="str">
        <f t="shared" si="292"/>
        <v>OFF</v>
      </c>
      <c r="Q2047" t="str">
        <f t="shared" si="292"/>
        <v>OFF</v>
      </c>
      <c r="R2047" t="str">
        <f t="shared" si="292"/>
        <v>OFF</v>
      </c>
      <c r="S2047" t="str">
        <f t="shared" si="292"/>
        <v>OFF</v>
      </c>
      <c r="T2047" t="str">
        <f t="shared" si="292"/>
        <v>OFF</v>
      </c>
      <c r="U2047" t="str">
        <f t="shared" si="292"/>
        <v>OFF</v>
      </c>
      <c r="V2047" t="str">
        <f t="shared" si="293"/>
        <v>OFF</v>
      </c>
      <c r="W2047" t="str">
        <f t="shared" si="293"/>
        <v>OFF</v>
      </c>
      <c r="X2047" t="str">
        <f t="shared" si="293"/>
        <v>OFF</v>
      </c>
      <c r="Y2047" t="str">
        <f t="shared" si="293"/>
        <v>OFF</v>
      </c>
      <c r="Z2047" t="str">
        <f t="shared" si="293"/>
        <v>OFF</v>
      </c>
      <c r="AA2047" t="str">
        <f t="shared" si="293"/>
        <v>OFF</v>
      </c>
      <c r="AB2047" t="str">
        <f t="shared" si="293"/>
        <v>OFF</v>
      </c>
      <c r="AC2047" t="str">
        <f t="shared" si="293"/>
        <v>OFF</v>
      </c>
      <c r="AD2047" t="str">
        <f t="shared" si="293"/>
        <v>OFF</v>
      </c>
      <c r="AE2047" t="str">
        <f t="shared" si="293"/>
        <v>OFF</v>
      </c>
      <c r="AF2047" t="str">
        <f t="shared" si="293"/>
        <v>OFF</v>
      </c>
      <c r="AG2047" t="str">
        <f t="shared" si="293"/>
        <v>OFF</v>
      </c>
    </row>
    <row r="2048" spans="1:33">
      <c r="A2048" t="s">
        <v>2890</v>
      </c>
      <c r="B2048" t="str">
        <f t="shared" si="291"/>
        <v>OFF</v>
      </c>
      <c r="C2048" t="str">
        <f t="shared" si="291"/>
        <v>OFF</v>
      </c>
      <c r="D2048" t="str">
        <f t="shared" si="291"/>
        <v>OFF</v>
      </c>
      <c r="E2048" t="str">
        <f t="shared" si="291"/>
        <v>OFF</v>
      </c>
      <c r="F2048" t="str">
        <f t="shared" si="291"/>
        <v>OFF</v>
      </c>
      <c r="G2048" t="str">
        <f t="shared" si="291"/>
        <v>OFF</v>
      </c>
      <c r="H2048" t="str">
        <f t="shared" si="291"/>
        <v>OFF</v>
      </c>
      <c r="I2048" t="str">
        <f t="shared" si="291"/>
        <v>OFF</v>
      </c>
      <c r="J2048" t="str">
        <f t="shared" si="291"/>
        <v>OFF</v>
      </c>
      <c r="K2048" t="str">
        <f t="shared" si="291"/>
        <v>OFF</v>
      </c>
      <c r="L2048" t="str">
        <f t="shared" si="292"/>
        <v>OFF</v>
      </c>
      <c r="M2048" t="str">
        <f t="shared" si="292"/>
        <v>OFF</v>
      </c>
      <c r="N2048" t="str">
        <f t="shared" si="292"/>
        <v>OFF</v>
      </c>
      <c r="O2048" t="str">
        <f t="shared" si="292"/>
        <v>OFF</v>
      </c>
      <c r="P2048" t="str">
        <f t="shared" si="292"/>
        <v>OFF</v>
      </c>
      <c r="Q2048" t="str">
        <f t="shared" si="292"/>
        <v>OFF</v>
      </c>
      <c r="R2048" t="str">
        <f t="shared" si="292"/>
        <v>OFF</v>
      </c>
      <c r="S2048" t="str">
        <f t="shared" si="292"/>
        <v>OFF</v>
      </c>
      <c r="T2048" t="str">
        <f t="shared" si="292"/>
        <v>OFF</v>
      </c>
      <c r="U2048" t="str">
        <f t="shared" si="292"/>
        <v>OFF</v>
      </c>
      <c r="V2048" t="str">
        <f t="shared" si="293"/>
        <v>OFF</v>
      </c>
      <c r="W2048" t="str">
        <f t="shared" si="293"/>
        <v>OFF</v>
      </c>
      <c r="X2048" t="str">
        <f t="shared" si="293"/>
        <v>OFF</v>
      </c>
      <c r="Y2048" t="str">
        <f t="shared" si="293"/>
        <v>OFF</v>
      </c>
      <c r="Z2048" t="str">
        <f t="shared" si="293"/>
        <v>OFF</v>
      </c>
      <c r="AA2048" t="str">
        <f t="shared" si="293"/>
        <v>OFF</v>
      </c>
      <c r="AB2048" t="str">
        <f t="shared" si="293"/>
        <v>OFF</v>
      </c>
      <c r="AC2048" t="str">
        <f t="shared" si="293"/>
        <v>OFF</v>
      </c>
      <c r="AD2048" t="str">
        <f t="shared" si="293"/>
        <v>OFF</v>
      </c>
      <c r="AE2048" t="str">
        <f t="shared" si="293"/>
        <v>OFF</v>
      </c>
      <c r="AF2048" t="str">
        <f t="shared" si="293"/>
        <v>OFF</v>
      </c>
      <c r="AG2048" t="str">
        <f t="shared" si="293"/>
        <v>OFF</v>
      </c>
    </row>
    <row r="2049" spans="1:33">
      <c r="A2049" t="s">
        <v>2891</v>
      </c>
      <c r="B2049" t="str">
        <f t="shared" ref="B2049:K2058" si="294">"OFF"</f>
        <v>OFF</v>
      </c>
      <c r="C2049" t="str">
        <f t="shared" si="294"/>
        <v>OFF</v>
      </c>
      <c r="D2049" t="str">
        <f t="shared" si="294"/>
        <v>OFF</v>
      </c>
      <c r="E2049" t="str">
        <f t="shared" si="294"/>
        <v>OFF</v>
      </c>
      <c r="F2049" t="str">
        <f t="shared" si="294"/>
        <v>OFF</v>
      </c>
      <c r="G2049" t="str">
        <f t="shared" si="294"/>
        <v>OFF</v>
      </c>
      <c r="H2049" t="str">
        <f t="shared" si="294"/>
        <v>OFF</v>
      </c>
      <c r="I2049" t="str">
        <f t="shared" si="294"/>
        <v>OFF</v>
      </c>
      <c r="J2049" t="str">
        <f t="shared" si="294"/>
        <v>OFF</v>
      </c>
      <c r="K2049" t="str">
        <f t="shared" si="294"/>
        <v>OFF</v>
      </c>
      <c r="L2049" t="str">
        <f t="shared" ref="L2049:U2058" si="295">"OFF"</f>
        <v>OFF</v>
      </c>
      <c r="M2049" t="str">
        <f t="shared" si="295"/>
        <v>OFF</v>
      </c>
      <c r="N2049" t="str">
        <f t="shared" si="295"/>
        <v>OFF</v>
      </c>
      <c r="O2049" t="str">
        <f t="shared" si="295"/>
        <v>OFF</v>
      </c>
      <c r="P2049" t="str">
        <f t="shared" si="295"/>
        <v>OFF</v>
      </c>
      <c r="Q2049" t="str">
        <f t="shared" si="295"/>
        <v>OFF</v>
      </c>
      <c r="R2049" t="str">
        <f t="shared" si="295"/>
        <v>OFF</v>
      </c>
      <c r="S2049" t="str">
        <f t="shared" si="295"/>
        <v>OFF</v>
      </c>
      <c r="T2049" t="str">
        <f t="shared" si="295"/>
        <v>OFF</v>
      </c>
      <c r="U2049" t="str">
        <f t="shared" si="295"/>
        <v>OFF</v>
      </c>
      <c r="V2049" t="str">
        <f t="shared" ref="V2049:AG2058" si="296">"OFF"</f>
        <v>OFF</v>
      </c>
      <c r="W2049" t="str">
        <f t="shared" si="296"/>
        <v>OFF</v>
      </c>
      <c r="X2049" t="str">
        <f t="shared" si="296"/>
        <v>OFF</v>
      </c>
      <c r="Y2049" t="str">
        <f t="shared" si="296"/>
        <v>OFF</v>
      </c>
      <c r="Z2049" t="str">
        <f t="shared" si="296"/>
        <v>OFF</v>
      </c>
      <c r="AA2049" t="str">
        <f t="shared" si="296"/>
        <v>OFF</v>
      </c>
      <c r="AB2049" t="str">
        <f t="shared" si="296"/>
        <v>OFF</v>
      </c>
      <c r="AC2049" t="str">
        <f t="shared" si="296"/>
        <v>OFF</v>
      </c>
      <c r="AD2049" t="str">
        <f t="shared" si="296"/>
        <v>OFF</v>
      </c>
      <c r="AE2049" t="str">
        <f t="shared" si="296"/>
        <v>OFF</v>
      </c>
      <c r="AF2049" t="str">
        <f t="shared" si="296"/>
        <v>OFF</v>
      </c>
      <c r="AG2049" t="str">
        <f t="shared" si="296"/>
        <v>OFF</v>
      </c>
    </row>
    <row r="2050" spans="1:33">
      <c r="A2050" t="s">
        <v>2892</v>
      </c>
      <c r="B2050" t="str">
        <f t="shared" si="294"/>
        <v>OFF</v>
      </c>
      <c r="C2050" t="str">
        <f t="shared" si="294"/>
        <v>OFF</v>
      </c>
      <c r="D2050" t="str">
        <f t="shared" si="294"/>
        <v>OFF</v>
      </c>
      <c r="E2050" t="str">
        <f t="shared" si="294"/>
        <v>OFF</v>
      </c>
      <c r="F2050" t="str">
        <f t="shared" si="294"/>
        <v>OFF</v>
      </c>
      <c r="G2050" t="str">
        <f t="shared" si="294"/>
        <v>OFF</v>
      </c>
      <c r="H2050" t="str">
        <f t="shared" si="294"/>
        <v>OFF</v>
      </c>
      <c r="I2050" t="str">
        <f t="shared" si="294"/>
        <v>OFF</v>
      </c>
      <c r="J2050" t="str">
        <f t="shared" si="294"/>
        <v>OFF</v>
      </c>
      <c r="K2050" t="str">
        <f t="shared" si="294"/>
        <v>OFF</v>
      </c>
      <c r="L2050" t="str">
        <f t="shared" si="295"/>
        <v>OFF</v>
      </c>
      <c r="M2050" t="str">
        <f t="shared" si="295"/>
        <v>OFF</v>
      </c>
      <c r="N2050" t="str">
        <f t="shared" si="295"/>
        <v>OFF</v>
      </c>
      <c r="O2050" t="str">
        <f t="shared" si="295"/>
        <v>OFF</v>
      </c>
      <c r="P2050" t="str">
        <f t="shared" si="295"/>
        <v>OFF</v>
      </c>
      <c r="Q2050" t="str">
        <f t="shared" si="295"/>
        <v>OFF</v>
      </c>
      <c r="R2050" t="str">
        <f t="shared" si="295"/>
        <v>OFF</v>
      </c>
      <c r="S2050" t="str">
        <f t="shared" si="295"/>
        <v>OFF</v>
      </c>
      <c r="T2050" t="str">
        <f t="shared" si="295"/>
        <v>OFF</v>
      </c>
      <c r="U2050" t="str">
        <f t="shared" si="295"/>
        <v>OFF</v>
      </c>
      <c r="V2050" t="str">
        <f t="shared" si="296"/>
        <v>OFF</v>
      </c>
      <c r="W2050" t="str">
        <f t="shared" si="296"/>
        <v>OFF</v>
      </c>
      <c r="X2050" t="str">
        <f t="shared" si="296"/>
        <v>OFF</v>
      </c>
      <c r="Y2050" t="str">
        <f t="shared" si="296"/>
        <v>OFF</v>
      </c>
      <c r="Z2050" t="str">
        <f t="shared" si="296"/>
        <v>OFF</v>
      </c>
      <c r="AA2050" t="str">
        <f t="shared" si="296"/>
        <v>OFF</v>
      </c>
      <c r="AB2050" t="str">
        <f t="shared" si="296"/>
        <v>OFF</v>
      </c>
      <c r="AC2050" t="str">
        <f t="shared" si="296"/>
        <v>OFF</v>
      </c>
      <c r="AD2050" t="str">
        <f t="shared" si="296"/>
        <v>OFF</v>
      </c>
      <c r="AE2050" t="str">
        <f t="shared" si="296"/>
        <v>OFF</v>
      </c>
      <c r="AF2050" t="str">
        <f t="shared" si="296"/>
        <v>OFF</v>
      </c>
      <c r="AG2050" t="str">
        <f t="shared" si="296"/>
        <v>OFF</v>
      </c>
    </row>
    <row r="2051" spans="1:33">
      <c r="A2051" t="s">
        <v>2893</v>
      </c>
      <c r="B2051" t="str">
        <f t="shared" si="294"/>
        <v>OFF</v>
      </c>
      <c r="C2051" t="str">
        <f t="shared" si="294"/>
        <v>OFF</v>
      </c>
      <c r="D2051" t="str">
        <f t="shared" si="294"/>
        <v>OFF</v>
      </c>
      <c r="E2051" t="str">
        <f t="shared" si="294"/>
        <v>OFF</v>
      </c>
      <c r="F2051" t="str">
        <f t="shared" si="294"/>
        <v>OFF</v>
      </c>
      <c r="G2051" t="str">
        <f t="shared" si="294"/>
        <v>OFF</v>
      </c>
      <c r="H2051" t="str">
        <f t="shared" si="294"/>
        <v>OFF</v>
      </c>
      <c r="I2051" t="str">
        <f t="shared" si="294"/>
        <v>OFF</v>
      </c>
      <c r="J2051" t="str">
        <f t="shared" si="294"/>
        <v>OFF</v>
      </c>
      <c r="K2051" t="str">
        <f t="shared" si="294"/>
        <v>OFF</v>
      </c>
      <c r="L2051" t="str">
        <f t="shared" si="295"/>
        <v>OFF</v>
      </c>
      <c r="M2051" t="str">
        <f t="shared" si="295"/>
        <v>OFF</v>
      </c>
      <c r="N2051" t="str">
        <f t="shared" si="295"/>
        <v>OFF</v>
      </c>
      <c r="O2051" t="str">
        <f t="shared" si="295"/>
        <v>OFF</v>
      </c>
      <c r="P2051" t="str">
        <f t="shared" si="295"/>
        <v>OFF</v>
      </c>
      <c r="Q2051" t="str">
        <f t="shared" si="295"/>
        <v>OFF</v>
      </c>
      <c r="R2051" t="str">
        <f t="shared" si="295"/>
        <v>OFF</v>
      </c>
      <c r="S2051" t="str">
        <f t="shared" si="295"/>
        <v>OFF</v>
      </c>
      <c r="T2051" t="str">
        <f t="shared" si="295"/>
        <v>OFF</v>
      </c>
      <c r="U2051" t="str">
        <f t="shared" si="295"/>
        <v>OFF</v>
      </c>
      <c r="V2051" t="str">
        <f t="shared" si="296"/>
        <v>OFF</v>
      </c>
      <c r="W2051" t="str">
        <f t="shared" si="296"/>
        <v>OFF</v>
      </c>
      <c r="X2051" t="str">
        <f t="shared" si="296"/>
        <v>OFF</v>
      </c>
      <c r="Y2051" t="str">
        <f t="shared" si="296"/>
        <v>OFF</v>
      </c>
      <c r="Z2051" t="str">
        <f t="shared" si="296"/>
        <v>OFF</v>
      </c>
      <c r="AA2051" t="str">
        <f t="shared" si="296"/>
        <v>OFF</v>
      </c>
      <c r="AB2051" t="str">
        <f t="shared" si="296"/>
        <v>OFF</v>
      </c>
      <c r="AC2051" t="str">
        <f t="shared" si="296"/>
        <v>OFF</v>
      </c>
      <c r="AD2051" t="str">
        <f t="shared" si="296"/>
        <v>OFF</v>
      </c>
      <c r="AE2051" t="str">
        <f t="shared" si="296"/>
        <v>OFF</v>
      </c>
      <c r="AF2051" t="str">
        <f t="shared" si="296"/>
        <v>OFF</v>
      </c>
      <c r="AG2051" t="str">
        <f t="shared" si="296"/>
        <v>OFF</v>
      </c>
    </row>
    <row r="2052" spans="1:33">
      <c r="A2052" t="s">
        <v>2894</v>
      </c>
      <c r="B2052" t="str">
        <f t="shared" si="294"/>
        <v>OFF</v>
      </c>
      <c r="C2052" t="str">
        <f t="shared" si="294"/>
        <v>OFF</v>
      </c>
      <c r="D2052" t="str">
        <f t="shared" si="294"/>
        <v>OFF</v>
      </c>
      <c r="E2052" t="str">
        <f t="shared" si="294"/>
        <v>OFF</v>
      </c>
      <c r="F2052" t="str">
        <f t="shared" si="294"/>
        <v>OFF</v>
      </c>
      <c r="G2052" t="str">
        <f t="shared" si="294"/>
        <v>OFF</v>
      </c>
      <c r="H2052" t="str">
        <f t="shared" si="294"/>
        <v>OFF</v>
      </c>
      <c r="I2052" t="str">
        <f t="shared" si="294"/>
        <v>OFF</v>
      </c>
      <c r="J2052" t="str">
        <f t="shared" si="294"/>
        <v>OFF</v>
      </c>
      <c r="K2052" t="str">
        <f t="shared" si="294"/>
        <v>OFF</v>
      </c>
      <c r="L2052" t="str">
        <f t="shared" si="295"/>
        <v>OFF</v>
      </c>
      <c r="M2052" t="str">
        <f t="shared" si="295"/>
        <v>OFF</v>
      </c>
      <c r="N2052" t="str">
        <f t="shared" si="295"/>
        <v>OFF</v>
      </c>
      <c r="O2052" t="str">
        <f t="shared" si="295"/>
        <v>OFF</v>
      </c>
      <c r="P2052" t="str">
        <f t="shared" si="295"/>
        <v>OFF</v>
      </c>
      <c r="Q2052" t="str">
        <f t="shared" si="295"/>
        <v>OFF</v>
      </c>
      <c r="R2052" t="str">
        <f t="shared" si="295"/>
        <v>OFF</v>
      </c>
      <c r="S2052" t="str">
        <f t="shared" si="295"/>
        <v>OFF</v>
      </c>
      <c r="T2052" t="str">
        <f t="shared" si="295"/>
        <v>OFF</v>
      </c>
      <c r="U2052" t="str">
        <f t="shared" si="295"/>
        <v>OFF</v>
      </c>
      <c r="V2052" t="str">
        <f t="shared" si="296"/>
        <v>OFF</v>
      </c>
      <c r="W2052" t="str">
        <f t="shared" si="296"/>
        <v>OFF</v>
      </c>
      <c r="X2052" t="str">
        <f t="shared" si="296"/>
        <v>OFF</v>
      </c>
      <c r="Y2052" t="str">
        <f t="shared" si="296"/>
        <v>OFF</v>
      </c>
      <c r="Z2052" t="str">
        <f t="shared" si="296"/>
        <v>OFF</v>
      </c>
      <c r="AA2052" t="str">
        <f t="shared" si="296"/>
        <v>OFF</v>
      </c>
      <c r="AB2052" t="str">
        <f t="shared" si="296"/>
        <v>OFF</v>
      </c>
      <c r="AC2052" t="str">
        <f t="shared" si="296"/>
        <v>OFF</v>
      </c>
      <c r="AD2052" t="str">
        <f t="shared" si="296"/>
        <v>OFF</v>
      </c>
      <c r="AE2052" t="str">
        <f t="shared" si="296"/>
        <v>OFF</v>
      </c>
      <c r="AF2052" t="str">
        <f t="shared" si="296"/>
        <v>OFF</v>
      </c>
      <c r="AG2052" t="str">
        <f t="shared" si="296"/>
        <v>OFF</v>
      </c>
    </row>
    <row r="2053" spans="1:33">
      <c r="A2053" t="s">
        <v>2895</v>
      </c>
      <c r="B2053" t="str">
        <f t="shared" si="294"/>
        <v>OFF</v>
      </c>
      <c r="C2053" t="str">
        <f t="shared" si="294"/>
        <v>OFF</v>
      </c>
      <c r="D2053" t="str">
        <f t="shared" si="294"/>
        <v>OFF</v>
      </c>
      <c r="E2053" t="str">
        <f t="shared" si="294"/>
        <v>OFF</v>
      </c>
      <c r="F2053" t="str">
        <f t="shared" si="294"/>
        <v>OFF</v>
      </c>
      <c r="G2053" t="str">
        <f t="shared" si="294"/>
        <v>OFF</v>
      </c>
      <c r="H2053" t="str">
        <f t="shared" si="294"/>
        <v>OFF</v>
      </c>
      <c r="I2053" t="str">
        <f t="shared" si="294"/>
        <v>OFF</v>
      </c>
      <c r="J2053" t="str">
        <f t="shared" si="294"/>
        <v>OFF</v>
      </c>
      <c r="K2053" t="str">
        <f t="shared" si="294"/>
        <v>OFF</v>
      </c>
      <c r="L2053" t="str">
        <f t="shared" si="295"/>
        <v>OFF</v>
      </c>
      <c r="M2053" t="str">
        <f t="shared" si="295"/>
        <v>OFF</v>
      </c>
      <c r="N2053" t="str">
        <f t="shared" si="295"/>
        <v>OFF</v>
      </c>
      <c r="O2053" t="str">
        <f t="shared" si="295"/>
        <v>OFF</v>
      </c>
      <c r="P2053" t="str">
        <f t="shared" si="295"/>
        <v>OFF</v>
      </c>
      <c r="Q2053" t="str">
        <f t="shared" si="295"/>
        <v>OFF</v>
      </c>
      <c r="R2053" t="str">
        <f t="shared" si="295"/>
        <v>OFF</v>
      </c>
      <c r="S2053" t="str">
        <f t="shared" si="295"/>
        <v>OFF</v>
      </c>
      <c r="T2053" t="str">
        <f t="shared" si="295"/>
        <v>OFF</v>
      </c>
      <c r="U2053" t="str">
        <f t="shared" si="295"/>
        <v>OFF</v>
      </c>
      <c r="V2053" t="str">
        <f t="shared" si="296"/>
        <v>OFF</v>
      </c>
      <c r="W2053" t="str">
        <f t="shared" si="296"/>
        <v>OFF</v>
      </c>
      <c r="X2053" t="str">
        <f t="shared" si="296"/>
        <v>OFF</v>
      </c>
      <c r="Y2053" t="str">
        <f t="shared" si="296"/>
        <v>OFF</v>
      </c>
      <c r="Z2053" t="str">
        <f t="shared" si="296"/>
        <v>OFF</v>
      </c>
      <c r="AA2053" t="str">
        <f t="shared" si="296"/>
        <v>OFF</v>
      </c>
      <c r="AB2053" t="str">
        <f t="shared" si="296"/>
        <v>OFF</v>
      </c>
      <c r="AC2053" t="str">
        <f t="shared" si="296"/>
        <v>OFF</v>
      </c>
      <c r="AD2053" t="str">
        <f t="shared" si="296"/>
        <v>OFF</v>
      </c>
      <c r="AE2053" t="str">
        <f t="shared" si="296"/>
        <v>OFF</v>
      </c>
      <c r="AF2053" t="str">
        <f t="shared" si="296"/>
        <v>OFF</v>
      </c>
      <c r="AG2053" t="str">
        <f t="shared" si="296"/>
        <v>OFF</v>
      </c>
    </row>
    <row r="2054" spans="1:33">
      <c r="A2054" t="s">
        <v>2896</v>
      </c>
      <c r="B2054" t="str">
        <f t="shared" si="294"/>
        <v>OFF</v>
      </c>
      <c r="C2054" t="str">
        <f t="shared" si="294"/>
        <v>OFF</v>
      </c>
      <c r="D2054" t="str">
        <f t="shared" si="294"/>
        <v>OFF</v>
      </c>
      <c r="E2054" t="str">
        <f t="shared" si="294"/>
        <v>OFF</v>
      </c>
      <c r="F2054" t="str">
        <f t="shared" si="294"/>
        <v>OFF</v>
      </c>
      <c r="G2054" t="str">
        <f t="shared" si="294"/>
        <v>OFF</v>
      </c>
      <c r="H2054" t="str">
        <f t="shared" si="294"/>
        <v>OFF</v>
      </c>
      <c r="I2054" t="str">
        <f t="shared" si="294"/>
        <v>OFF</v>
      </c>
      <c r="J2054" t="str">
        <f t="shared" si="294"/>
        <v>OFF</v>
      </c>
      <c r="K2054" t="str">
        <f t="shared" si="294"/>
        <v>OFF</v>
      </c>
      <c r="L2054" t="str">
        <f t="shared" si="295"/>
        <v>OFF</v>
      </c>
      <c r="M2054" t="str">
        <f t="shared" si="295"/>
        <v>OFF</v>
      </c>
      <c r="N2054" t="str">
        <f t="shared" si="295"/>
        <v>OFF</v>
      </c>
      <c r="O2054" t="str">
        <f t="shared" si="295"/>
        <v>OFF</v>
      </c>
      <c r="P2054" t="str">
        <f t="shared" si="295"/>
        <v>OFF</v>
      </c>
      <c r="Q2054" t="str">
        <f t="shared" si="295"/>
        <v>OFF</v>
      </c>
      <c r="R2054" t="str">
        <f t="shared" si="295"/>
        <v>OFF</v>
      </c>
      <c r="S2054" t="str">
        <f t="shared" si="295"/>
        <v>OFF</v>
      </c>
      <c r="T2054" t="str">
        <f t="shared" si="295"/>
        <v>OFF</v>
      </c>
      <c r="U2054" t="str">
        <f t="shared" si="295"/>
        <v>OFF</v>
      </c>
      <c r="V2054" t="str">
        <f t="shared" si="296"/>
        <v>OFF</v>
      </c>
      <c r="W2054" t="str">
        <f t="shared" si="296"/>
        <v>OFF</v>
      </c>
      <c r="X2054" t="str">
        <f t="shared" si="296"/>
        <v>OFF</v>
      </c>
      <c r="Y2054" t="str">
        <f t="shared" si="296"/>
        <v>OFF</v>
      </c>
      <c r="Z2054" t="str">
        <f t="shared" si="296"/>
        <v>OFF</v>
      </c>
      <c r="AA2054" t="str">
        <f t="shared" si="296"/>
        <v>OFF</v>
      </c>
      <c r="AB2054" t="str">
        <f t="shared" si="296"/>
        <v>OFF</v>
      </c>
      <c r="AC2054" t="str">
        <f t="shared" si="296"/>
        <v>OFF</v>
      </c>
      <c r="AD2054" t="str">
        <f t="shared" si="296"/>
        <v>OFF</v>
      </c>
      <c r="AE2054" t="str">
        <f t="shared" si="296"/>
        <v>OFF</v>
      </c>
      <c r="AF2054" t="str">
        <f t="shared" si="296"/>
        <v>OFF</v>
      </c>
      <c r="AG2054" t="str">
        <f t="shared" si="296"/>
        <v>OFF</v>
      </c>
    </row>
    <row r="2055" spans="1:33">
      <c r="A2055" t="s">
        <v>2897</v>
      </c>
      <c r="B2055" t="str">
        <f t="shared" si="294"/>
        <v>OFF</v>
      </c>
      <c r="C2055" t="str">
        <f t="shared" si="294"/>
        <v>OFF</v>
      </c>
      <c r="D2055" t="str">
        <f t="shared" si="294"/>
        <v>OFF</v>
      </c>
      <c r="E2055" t="str">
        <f t="shared" si="294"/>
        <v>OFF</v>
      </c>
      <c r="F2055" t="str">
        <f t="shared" si="294"/>
        <v>OFF</v>
      </c>
      <c r="G2055" t="str">
        <f t="shared" si="294"/>
        <v>OFF</v>
      </c>
      <c r="H2055" t="str">
        <f t="shared" si="294"/>
        <v>OFF</v>
      </c>
      <c r="I2055" t="str">
        <f t="shared" si="294"/>
        <v>OFF</v>
      </c>
      <c r="J2055" t="str">
        <f t="shared" si="294"/>
        <v>OFF</v>
      </c>
      <c r="K2055" t="str">
        <f t="shared" si="294"/>
        <v>OFF</v>
      </c>
      <c r="L2055" t="str">
        <f t="shared" si="295"/>
        <v>OFF</v>
      </c>
      <c r="M2055" t="str">
        <f t="shared" si="295"/>
        <v>OFF</v>
      </c>
      <c r="N2055" t="str">
        <f t="shared" si="295"/>
        <v>OFF</v>
      </c>
      <c r="O2055" t="str">
        <f t="shared" si="295"/>
        <v>OFF</v>
      </c>
      <c r="P2055" t="str">
        <f t="shared" si="295"/>
        <v>OFF</v>
      </c>
      <c r="Q2055" t="str">
        <f t="shared" si="295"/>
        <v>OFF</v>
      </c>
      <c r="R2055" t="str">
        <f t="shared" si="295"/>
        <v>OFF</v>
      </c>
      <c r="S2055" t="str">
        <f t="shared" si="295"/>
        <v>OFF</v>
      </c>
      <c r="T2055" t="str">
        <f t="shared" si="295"/>
        <v>OFF</v>
      </c>
      <c r="U2055" t="str">
        <f t="shared" si="295"/>
        <v>OFF</v>
      </c>
      <c r="V2055" t="str">
        <f t="shared" si="296"/>
        <v>OFF</v>
      </c>
      <c r="W2055" t="str">
        <f t="shared" si="296"/>
        <v>OFF</v>
      </c>
      <c r="X2055" t="str">
        <f t="shared" si="296"/>
        <v>OFF</v>
      </c>
      <c r="Y2055" t="str">
        <f t="shared" si="296"/>
        <v>OFF</v>
      </c>
      <c r="Z2055" t="str">
        <f t="shared" si="296"/>
        <v>OFF</v>
      </c>
      <c r="AA2055" t="str">
        <f t="shared" si="296"/>
        <v>OFF</v>
      </c>
      <c r="AB2055" t="str">
        <f t="shared" si="296"/>
        <v>OFF</v>
      </c>
      <c r="AC2055" t="str">
        <f t="shared" si="296"/>
        <v>OFF</v>
      </c>
      <c r="AD2055" t="str">
        <f t="shared" si="296"/>
        <v>OFF</v>
      </c>
      <c r="AE2055" t="str">
        <f t="shared" si="296"/>
        <v>OFF</v>
      </c>
      <c r="AF2055" t="str">
        <f t="shared" si="296"/>
        <v>OFF</v>
      </c>
      <c r="AG2055" t="str">
        <f t="shared" si="296"/>
        <v>OFF</v>
      </c>
    </row>
    <row r="2056" spans="1:33">
      <c r="A2056" t="s">
        <v>2898</v>
      </c>
      <c r="B2056" t="str">
        <f t="shared" si="294"/>
        <v>OFF</v>
      </c>
      <c r="C2056" t="str">
        <f t="shared" si="294"/>
        <v>OFF</v>
      </c>
      <c r="D2056" t="str">
        <f t="shared" si="294"/>
        <v>OFF</v>
      </c>
      <c r="E2056" t="str">
        <f t="shared" si="294"/>
        <v>OFF</v>
      </c>
      <c r="F2056" t="str">
        <f t="shared" si="294"/>
        <v>OFF</v>
      </c>
      <c r="G2056" t="str">
        <f t="shared" si="294"/>
        <v>OFF</v>
      </c>
      <c r="H2056" t="str">
        <f t="shared" si="294"/>
        <v>OFF</v>
      </c>
      <c r="I2056" t="str">
        <f t="shared" si="294"/>
        <v>OFF</v>
      </c>
      <c r="J2056" t="str">
        <f t="shared" si="294"/>
        <v>OFF</v>
      </c>
      <c r="K2056" t="str">
        <f t="shared" si="294"/>
        <v>OFF</v>
      </c>
      <c r="L2056" t="str">
        <f t="shared" si="295"/>
        <v>OFF</v>
      </c>
      <c r="M2056" t="str">
        <f t="shared" si="295"/>
        <v>OFF</v>
      </c>
      <c r="N2056" t="str">
        <f t="shared" si="295"/>
        <v>OFF</v>
      </c>
      <c r="O2056" t="str">
        <f t="shared" si="295"/>
        <v>OFF</v>
      </c>
      <c r="P2056" t="str">
        <f t="shared" si="295"/>
        <v>OFF</v>
      </c>
      <c r="Q2056" t="str">
        <f t="shared" si="295"/>
        <v>OFF</v>
      </c>
      <c r="R2056" t="str">
        <f t="shared" si="295"/>
        <v>OFF</v>
      </c>
      <c r="S2056" t="str">
        <f t="shared" si="295"/>
        <v>OFF</v>
      </c>
      <c r="T2056" t="str">
        <f t="shared" si="295"/>
        <v>OFF</v>
      </c>
      <c r="U2056" t="str">
        <f t="shared" si="295"/>
        <v>OFF</v>
      </c>
      <c r="V2056" t="str">
        <f t="shared" si="296"/>
        <v>OFF</v>
      </c>
      <c r="W2056" t="str">
        <f t="shared" si="296"/>
        <v>OFF</v>
      </c>
      <c r="X2056" t="str">
        <f t="shared" si="296"/>
        <v>OFF</v>
      </c>
      <c r="Y2056" t="str">
        <f t="shared" si="296"/>
        <v>OFF</v>
      </c>
      <c r="Z2056" t="str">
        <f t="shared" si="296"/>
        <v>OFF</v>
      </c>
      <c r="AA2056" t="str">
        <f t="shared" si="296"/>
        <v>OFF</v>
      </c>
      <c r="AB2056" t="str">
        <f t="shared" si="296"/>
        <v>OFF</v>
      </c>
      <c r="AC2056" t="str">
        <f t="shared" si="296"/>
        <v>OFF</v>
      </c>
      <c r="AD2056" t="str">
        <f t="shared" si="296"/>
        <v>OFF</v>
      </c>
      <c r="AE2056" t="str">
        <f t="shared" si="296"/>
        <v>OFF</v>
      </c>
      <c r="AF2056" t="str">
        <f t="shared" si="296"/>
        <v>OFF</v>
      </c>
      <c r="AG2056" t="str">
        <f t="shared" si="296"/>
        <v>OFF</v>
      </c>
    </row>
    <row r="2057" spans="1:33">
      <c r="A2057" t="s">
        <v>2899</v>
      </c>
      <c r="B2057" t="str">
        <f t="shared" si="294"/>
        <v>OFF</v>
      </c>
      <c r="C2057" t="str">
        <f t="shared" si="294"/>
        <v>OFF</v>
      </c>
      <c r="D2057" t="str">
        <f t="shared" si="294"/>
        <v>OFF</v>
      </c>
      <c r="E2057" t="str">
        <f t="shared" si="294"/>
        <v>OFF</v>
      </c>
      <c r="F2057" t="str">
        <f t="shared" si="294"/>
        <v>OFF</v>
      </c>
      <c r="G2057" t="str">
        <f t="shared" si="294"/>
        <v>OFF</v>
      </c>
      <c r="H2057" t="str">
        <f t="shared" si="294"/>
        <v>OFF</v>
      </c>
      <c r="I2057" t="str">
        <f t="shared" si="294"/>
        <v>OFF</v>
      </c>
      <c r="J2057" t="str">
        <f t="shared" si="294"/>
        <v>OFF</v>
      </c>
      <c r="K2057" t="str">
        <f t="shared" si="294"/>
        <v>OFF</v>
      </c>
      <c r="L2057" t="str">
        <f t="shared" si="295"/>
        <v>OFF</v>
      </c>
      <c r="M2057" t="str">
        <f t="shared" si="295"/>
        <v>OFF</v>
      </c>
      <c r="N2057" t="str">
        <f t="shared" si="295"/>
        <v>OFF</v>
      </c>
      <c r="O2057" t="str">
        <f t="shared" si="295"/>
        <v>OFF</v>
      </c>
      <c r="P2057" t="str">
        <f t="shared" si="295"/>
        <v>OFF</v>
      </c>
      <c r="Q2057" t="str">
        <f t="shared" si="295"/>
        <v>OFF</v>
      </c>
      <c r="R2057" t="str">
        <f t="shared" si="295"/>
        <v>OFF</v>
      </c>
      <c r="S2057" t="str">
        <f t="shared" si="295"/>
        <v>OFF</v>
      </c>
      <c r="T2057" t="str">
        <f t="shared" si="295"/>
        <v>OFF</v>
      </c>
      <c r="U2057" t="str">
        <f t="shared" si="295"/>
        <v>OFF</v>
      </c>
      <c r="V2057" t="str">
        <f t="shared" si="296"/>
        <v>OFF</v>
      </c>
      <c r="W2057" t="str">
        <f t="shared" si="296"/>
        <v>OFF</v>
      </c>
      <c r="X2057" t="str">
        <f t="shared" si="296"/>
        <v>OFF</v>
      </c>
      <c r="Y2057" t="str">
        <f t="shared" si="296"/>
        <v>OFF</v>
      </c>
      <c r="Z2057" t="str">
        <f t="shared" si="296"/>
        <v>OFF</v>
      </c>
      <c r="AA2057" t="str">
        <f t="shared" si="296"/>
        <v>OFF</v>
      </c>
      <c r="AB2057" t="str">
        <f t="shared" si="296"/>
        <v>OFF</v>
      </c>
      <c r="AC2057" t="str">
        <f t="shared" si="296"/>
        <v>OFF</v>
      </c>
      <c r="AD2057" t="str">
        <f t="shared" si="296"/>
        <v>OFF</v>
      </c>
      <c r="AE2057" t="str">
        <f t="shared" si="296"/>
        <v>OFF</v>
      </c>
      <c r="AF2057" t="str">
        <f t="shared" si="296"/>
        <v>OFF</v>
      </c>
      <c r="AG2057" t="str">
        <f t="shared" si="296"/>
        <v>OFF</v>
      </c>
    </row>
    <row r="2058" spans="1:33">
      <c r="A2058" t="s">
        <v>2900</v>
      </c>
      <c r="B2058" t="str">
        <f t="shared" si="294"/>
        <v>OFF</v>
      </c>
      <c r="C2058" t="str">
        <f t="shared" si="294"/>
        <v>OFF</v>
      </c>
      <c r="D2058" t="str">
        <f t="shared" si="294"/>
        <v>OFF</v>
      </c>
      <c r="E2058" t="str">
        <f t="shared" si="294"/>
        <v>OFF</v>
      </c>
      <c r="F2058" t="str">
        <f t="shared" si="294"/>
        <v>OFF</v>
      </c>
      <c r="G2058" t="str">
        <f t="shared" si="294"/>
        <v>OFF</v>
      </c>
      <c r="H2058" t="str">
        <f t="shared" si="294"/>
        <v>OFF</v>
      </c>
      <c r="I2058" t="str">
        <f t="shared" si="294"/>
        <v>OFF</v>
      </c>
      <c r="J2058" t="str">
        <f t="shared" si="294"/>
        <v>OFF</v>
      </c>
      <c r="K2058" t="str">
        <f t="shared" si="294"/>
        <v>OFF</v>
      </c>
      <c r="L2058" t="str">
        <f t="shared" si="295"/>
        <v>OFF</v>
      </c>
      <c r="M2058" t="str">
        <f t="shared" si="295"/>
        <v>OFF</v>
      </c>
      <c r="N2058" t="str">
        <f t="shared" si="295"/>
        <v>OFF</v>
      </c>
      <c r="O2058" t="str">
        <f t="shared" si="295"/>
        <v>OFF</v>
      </c>
      <c r="P2058" t="str">
        <f t="shared" si="295"/>
        <v>OFF</v>
      </c>
      <c r="Q2058" t="str">
        <f t="shared" si="295"/>
        <v>OFF</v>
      </c>
      <c r="R2058" t="str">
        <f t="shared" si="295"/>
        <v>OFF</v>
      </c>
      <c r="S2058" t="str">
        <f t="shared" si="295"/>
        <v>OFF</v>
      </c>
      <c r="T2058" t="str">
        <f t="shared" si="295"/>
        <v>OFF</v>
      </c>
      <c r="U2058" t="str">
        <f t="shared" si="295"/>
        <v>OFF</v>
      </c>
      <c r="V2058" t="str">
        <f t="shared" si="296"/>
        <v>OFF</v>
      </c>
      <c r="W2058" t="str">
        <f t="shared" si="296"/>
        <v>OFF</v>
      </c>
      <c r="X2058" t="str">
        <f t="shared" si="296"/>
        <v>OFF</v>
      </c>
      <c r="Y2058" t="str">
        <f t="shared" si="296"/>
        <v>OFF</v>
      </c>
      <c r="Z2058" t="str">
        <f t="shared" si="296"/>
        <v>OFF</v>
      </c>
      <c r="AA2058" t="str">
        <f t="shared" si="296"/>
        <v>OFF</v>
      </c>
      <c r="AB2058" t="str">
        <f t="shared" si="296"/>
        <v>OFF</v>
      </c>
      <c r="AC2058" t="str">
        <f t="shared" si="296"/>
        <v>OFF</v>
      </c>
      <c r="AD2058" t="str">
        <f t="shared" si="296"/>
        <v>OFF</v>
      </c>
      <c r="AE2058" t="str">
        <f t="shared" si="296"/>
        <v>OFF</v>
      </c>
      <c r="AF2058" t="str">
        <f t="shared" si="296"/>
        <v>OFF</v>
      </c>
      <c r="AG2058" t="str">
        <f t="shared" si="296"/>
        <v>OFF</v>
      </c>
    </row>
    <row r="2059" spans="1:33">
      <c r="A2059" t="s">
        <v>2901</v>
      </c>
      <c r="B2059" t="str">
        <f t="shared" ref="B2059:K2068" si="297">"OFF"</f>
        <v>OFF</v>
      </c>
      <c r="C2059" t="str">
        <f t="shared" si="297"/>
        <v>OFF</v>
      </c>
      <c r="D2059" t="str">
        <f t="shared" si="297"/>
        <v>OFF</v>
      </c>
      <c r="E2059" t="str">
        <f t="shared" si="297"/>
        <v>OFF</v>
      </c>
      <c r="F2059" t="str">
        <f t="shared" si="297"/>
        <v>OFF</v>
      </c>
      <c r="G2059" t="str">
        <f t="shared" si="297"/>
        <v>OFF</v>
      </c>
      <c r="H2059" t="str">
        <f t="shared" si="297"/>
        <v>OFF</v>
      </c>
      <c r="I2059" t="str">
        <f t="shared" si="297"/>
        <v>OFF</v>
      </c>
      <c r="J2059" t="str">
        <f t="shared" si="297"/>
        <v>OFF</v>
      </c>
      <c r="K2059" t="str">
        <f t="shared" si="297"/>
        <v>OFF</v>
      </c>
      <c r="L2059" t="str">
        <f t="shared" ref="L2059:U2068" si="298">"OFF"</f>
        <v>OFF</v>
      </c>
      <c r="M2059" t="str">
        <f t="shared" si="298"/>
        <v>OFF</v>
      </c>
      <c r="N2059" t="str">
        <f t="shared" si="298"/>
        <v>OFF</v>
      </c>
      <c r="O2059" t="str">
        <f t="shared" si="298"/>
        <v>OFF</v>
      </c>
      <c r="P2059" t="str">
        <f t="shared" si="298"/>
        <v>OFF</v>
      </c>
      <c r="Q2059" t="str">
        <f t="shared" si="298"/>
        <v>OFF</v>
      </c>
      <c r="R2059" t="str">
        <f t="shared" si="298"/>
        <v>OFF</v>
      </c>
      <c r="S2059" t="str">
        <f t="shared" si="298"/>
        <v>OFF</v>
      </c>
      <c r="T2059" t="str">
        <f t="shared" si="298"/>
        <v>OFF</v>
      </c>
      <c r="U2059" t="str">
        <f t="shared" si="298"/>
        <v>OFF</v>
      </c>
      <c r="V2059" t="str">
        <f t="shared" ref="V2059:AG2068" si="299">"OFF"</f>
        <v>OFF</v>
      </c>
      <c r="W2059" t="str">
        <f t="shared" si="299"/>
        <v>OFF</v>
      </c>
      <c r="X2059" t="str">
        <f t="shared" si="299"/>
        <v>OFF</v>
      </c>
      <c r="Y2059" t="str">
        <f t="shared" si="299"/>
        <v>OFF</v>
      </c>
      <c r="Z2059" t="str">
        <f t="shared" si="299"/>
        <v>OFF</v>
      </c>
      <c r="AA2059" t="str">
        <f t="shared" si="299"/>
        <v>OFF</v>
      </c>
      <c r="AB2059" t="str">
        <f t="shared" si="299"/>
        <v>OFF</v>
      </c>
      <c r="AC2059" t="str">
        <f t="shared" si="299"/>
        <v>OFF</v>
      </c>
      <c r="AD2059" t="str">
        <f t="shared" si="299"/>
        <v>OFF</v>
      </c>
      <c r="AE2059" t="str">
        <f t="shared" si="299"/>
        <v>OFF</v>
      </c>
      <c r="AF2059" t="str">
        <f t="shared" si="299"/>
        <v>OFF</v>
      </c>
      <c r="AG2059" t="str">
        <f t="shared" si="299"/>
        <v>OFF</v>
      </c>
    </row>
    <row r="2060" spans="1:33">
      <c r="A2060" t="s">
        <v>2902</v>
      </c>
      <c r="B2060" t="str">
        <f t="shared" si="297"/>
        <v>OFF</v>
      </c>
      <c r="C2060" t="str">
        <f t="shared" si="297"/>
        <v>OFF</v>
      </c>
      <c r="D2060" t="str">
        <f t="shared" si="297"/>
        <v>OFF</v>
      </c>
      <c r="E2060" t="str">
        <f t="shared" si="297"/>
        <v>OFF</v>
      </c>
      <c r="F2060" t="str">
        <f t="shared" si="297"/>
        <v>OFF</v>
      </c>
      <c r="G2060" t="str">
        <f t="shared" si="297"/>
        <v>OFF</v>
      </c>
      <c r="H2060" t="str">
        <f t="shared" si="297"/>
        <v>OFF</v>
      </c>
      <c r="I2060" t="str">
        <f t="shared" si="297"/>
        <v>OFF</v>
      </c>
      <c r="J2060" t="str">
        <f t="shared" si="297"/>
        <v>OFF</v>
      </c>
      <c r="K2060" t="str">
        <f t="shared" si="297"/>
        <v>OFF</v>
      </c>
      <c r="L2060" t="str">
        <f t="shared" si="298"/>
        <v>OFF</v>
      </c>
      <c r="M2060" t="str">
        <f t="shared" si="298"/>
        <v>OFF</v>
      </c>
      <c r="N2060" t="str">
        <f t="shared" si="298"/>
        <v>OFF</v>
      </c>
      <c r="O2060" t="str">
        <f t="shared" si="298"/>
        <v>OFF</v>
      </c>
      <c r="P2060" t="str">
        <f t="shared" si="298"/>
        <v>OFF</v>
      </c>
      <c r="Q2060" t="str">
        <f t="shared" si="298"/>
        <v>OFF</v>
      </c>
      <c r="R2060" t="str">
        <f t="shared" si="298"/>
        <v>OFF</v>
      </c>
      <c r="S2060" t="str">
        <f t="shared" si="298"/>
        <v>OFF</v>
      </c>
      <c r="T2060" t="str">
        <f t="shared" si="298"/>
        <v>OFF</v>
      </c>
      <c r="U2060" t="str">
        <f t="shared" si="298"/>
        <v>OFF</v>
      </c>
      <c r="V2060" t="str">
        <f t="shared" si="299"/>
        <v>OFF</v>
      </c>
      <c r="W2060" t="str">
        <f t="shared" si="299"/>
        <v>OFF</v>
      </c>
      <c r="X2060" t="str">
        <f t="shared" si="299"/>
        <v>OFF</v>
      </c>
      <c r="Y2060" t="str">
        <f t="shared" si="299"/>
        <v>OFF</v>
      </c>
      <c r="Z2060" t="str">
        <f t="shared" si="299"/>
        <v>OFF</v>
      </c>
      <c r="AA2060" t="str">
        <f t="shared" si="299"/>
        <v>OFF</v>
      </c>
      <c r="AB2060" t="str">
        <f t="shared" si="299"/>
        <v>OFF</v>
      </c>
      <c r="AC2060" t="str">
        <f t="shared" si="299"/>
        <v>OFF</v>
      </c>
      <c r="AD2060" t="str">
        <f t="shared" si="299"/>
        <v>OFF</v>
      </c>
      <c r="AE2060" t="str">
        <f t="shared" si="299"/>
        <v>OFF</v>
      </c>
      <c r="AF2060" t="str">
        <f t="shared" si="299"/>
        <v>OFF</v>
      </c>
      <c r="AG2060" t="str">
        <f t="shared" si="299"/>
        <v>OFF</v>
      </c>
    </row>
    <row r="2061" spans="1:33">
      <c r="A2061" t="s">
        <v>2903</v>
      </c>
      <c r="B2061" t="str">
        <f t="shared" si="297"/>
        <v>OFF</v>
      </c>
      <c r="C2061" t="str">
        <f t="shared" si="297"/>
        <v>OFF</v>
      </c>
      <c r="D2061" t="str">
        <f t="shared" si="297"/>
        <v>OFF</v>
      </c>
      <c r="E2061" t="str">
        <f t="shared" si="297"/>
        <v>OFF</v>
      </c>
      <c r="F2061" t="str">
        <f t="shared" si="297"/>
        <v>OFF</v>
      </c>
      <c r="G2061" t="str">
        <f t="shared" si="297"/>
        <v>OFF</v>
      </c>
      <c r="H2061" t="str">
        <f t="shared" si="297"/>
        <v>OFF</v>
      </c>
      <c r="I2061" t="str">
        <f t="shared" si="297"/>
        <v>OFF</v>
      </c>
      <c r="J2061" t="str">
        <f t="shared" si="297"/>
        <v>OFF</v>
      </c>
      <c r="K2061" t="str">
        <f t="shared" si="297"/>
        <v>OFF</v>
      </c>
      <c r="L2061" t="str">
        <f t="shared" si="298"/>
        <v>OFF</v>
      </c>
      <c r="M2061" t="str">
        <f t="shared" si="298"/>
        <v>OFF</v>
      </c>
      <c r="N2061" t="str">
        <f t="shared" si="298"/>
        <v>OFF</v>
      </c>
      <c r="O2061" t="str">
        <f t="shared" si="298"/>
        <v>OFF</v>
      </c>
      <c r="P2061" t="str">
        <f t="shared" si="298"/>
        <v>OFF</v>
      </c>
      <c r="Q2061" t="str">
        <f t="shared" si="298"/>
        <v>OFF</v>
      </c>
      <c r="R2061" t="str">
        <f t="shared" si="298"/>
        <v>OFF</v>
      </c>
      <c r="S2061" t="str">
        <f t="shared" si="298"/>
        <v>OFF</v>
      </c>
      <c r="T2061" t="str">
        <f t="shared" si="298"/>
        <v>OFF</v>
      </c>
      <c r="U2061" t="str">
        <f t="shared" si="298"/>
        <v>OFF</v>
      </c>
      <c r="V2061" t="str">
        <f t="shared" si="299"/>
        <v>OFF</v>
      </c>
      <c r="W2061" t="str">
        <f t="shared" si="299"/>
        <v>OFF</v>
      </c>
      <c r="X2061" t="str">
        <f t="shared" si="299"/>
        <v>OFF</v>
      </c>
      <c r="Y2061" t="str">
        <f t="shared" si="299"/>
        <v>OFF</v>
      </c>
      <c r="Z2061" t="str">
        <f t="shared" si="299"/>
        <v>OFF</v>
      </c>
      <c r="AA2061" t="str">
        <f t="shared" si="299"/>
        <v>OFF</v>
      </c>
      <c r="AB2061" t="str">
        <f t="shared" si="299"/>
        <v>OFF</v>
      </c>
      <c r="AC2061" t="str">
        <f t="shared" si="299"/>
        <v>OFF</v>
      </c>
      <c r="AD2061" t="str">
        <f t="shared" si="299"/>
        <v>OFF</v>
      </c>
      <c r="AE2061" t="str">
        <f t="shared" si="299"/>
        <v>OFF</v>
      </c>
      <c r="AF2061" t="str">
        <f t="shared" si="299"/>
        <v>OFF</v>
      </c>
      <c r="AG2061" t="str">
        <f t="shared" si="299"/>
        <v>OFF</v>
      </c>
    </row>
    <row r="2062" spans="1:33">
      <c r="A2062" t="s">
        <v>2904</v>
      </c>
      <c r="B2062" t="str">
        <f t="shared" si="297"/>
        <v>OFF</v>
      </c>
      <c r="C2062" t="str">
        <f t="shared" si="297"/>
        <v>OFF</v>
      </c>
      <c r="D2062" t="str">
        <f t="shared" si="297"/>
        <v>OFF</v>
      </c>
      <c r="E2062" t="str">
        <f t="shared" si="297"/>
        <v>OFF</v>
      </c>
      <c r="F2062" t="str">
        <f t="shared" si="297"/>
        <v>OFF</v>
      </c>
      <c r="G2062" t="str">
        <f t="shared" si="297"/>
        <v>OFF</v>
      </c>
      <c r="H2062" t="str">
        <f t="shared" si="297"/>
        <v>OFF</v>
      </c>
      <c r="I2062" t="str">
        <f t="shared" si="297"/>
        <v>OFF</v>
      </c>
      <c r="J2062" t="str">
        <f t="shared" si="297"/>
        <v>OFF</v>
      </c>
      <c r="K2062" t="str">
        <f t="shared" si="297"/>
        <v>OFF</v>
      </c>
      <c r="L2062" t="str">
        <f t="shared" si="298"/>
        <v>OFF</v>
      </c>
      <c r="M2062" t="str">
        <f t="shared" si="298"/>
        <v>OFF</v>
      </c>
      <c r="N2062" t="str">
        <f t="shared" si="298"/>
        <v>OFF</v>
      </c>
      <c r="O2062" t="str">
        <f t="shared" si="298"/>
        <v>OFF</v>
      </c>
      <c r="P2062" t="str">
        <f t="shared" si="298"/>
        <v>OFF</v>
      </c>
      <c r="Q2062" t="str">
        <f t="shared" si="298"/>
        <v>OFF</v>
      </c>
      <c r="R2062" t="str">
        <f t="shared" si="298"/>
        <v>OFF</v>
      </c>
      <c r="S2062" t="str">
        <f t="shared" si="298"/>
        <v>OFF</v>
      </c>
      <c r="T2062" t="str">
        <f t="shared" si="298"/>
        <v>OFF</v>
      </c>
      <c r="U2062" t="str">
        <f t="shared" si="298"/>
        <v>OFF</v>
      </c>
      <c r="V2062" t="str">
        <f t="shared" si="299"/>
        <v>OFF</v>
      </c>
      <c r="W2062" t="str">
        <f t="shared" si="299"/>
        <v>OFF</v>
      </c>
      <c r="X2062" t="str">
        <f t="shared" si="299"/>
        <v>OFF</v>
      </c>
      <c r="Y2062" t="str">
        <f t="shared" si="299"/>
        <v>OFF</v>
      </c>
      <c r="Z2062" t="str">
        <f t="shared" si="299"/>
        <v>OFF</v>
      </c>
      <c r="AA2062" t="str">
        <f t="shared" si="299"/>
        <v>OFF</v>
      </c>
      <c r="AB2062" t="str">
        <f t="shared" si="299"/>
        <v>OFF</v>
      </c>
      <c r="AC2062" t="str">
        <f t="shared" si="299"/>
        <v>OFF</v>
      </c>
      <c r="AD2062" t="str">
        <f t="shared" si="299"/>
        <v>OFF</v>
      </c>
      <c r="AE2062" t="str">
        <f t="shared" si="299"/>
        <v>OFF</v>
      </c>
      <c r="AF2062" t="str">
        <f t="shared" si="299"/>
        <v>OFF</v>
      </c>
      <c r="AG2062" t="str">
        <f t="shared" si="299"/>
        <v>OFF</v>
      </c>
    </row>
    <row r="2063" spans="1:33">
      <c r="A2063" t="s">
        <v>2905</v>
      </c>
      <c r="B2063" t="str">
        <f t="shared" si="297"/>
        <v>OFF</v>
      </c>
      <c r="C2063" t="str">
        <f t="shared" si="297"/>
        <v>OFF</v>
      </c>
      <c r="D2063" t="str">
        <f t="shared" si="297"/>
        <v>OFF</v>
      </c>
      <c r="E2063" t="str">
        <f t="shared" si="297"/>
        <v>OFF</v>
      </c>
      <c r="F2063" t="str">
        <f t="shared" si="297"/>
        <v>OFF</v>
      </c>
      <c r="G2063" t="str">
        <f t="shared" si="297"/>
        <v>OFF</v>
      </c>
      <c r="H2063" t="str">
        <f t="shared" si="297"/>
        <v>OFF</v>
      </c>
      <c r="I2063" t="str">
        <f t="shared" si="297"/>
        <v>OFF</v>
      </c>
      <c r="J2063" t="str">
        <f t="shared" si="297"/>
        <v>OFF</v>
      </c>
      <c r="K2063" t="str">
        <f t="shared" si="297"/>
        <v>OFF</v>
      </c>
      <c r="L2063" t="str">
        <f t="shared" si="298"/>
        <v>OFF</v>
      </c>
      <c r="M2063" t="str">
        <f t="shared" si="298"/>
        <v>OFF</v>
      </c>
      <c r="N2063" t="str">
        <f t="shared" si="298"/>
        <v>OFF</v>
      </c>
      <c r="O2063" t="str">
        <f t="shared" si="298"/>
        <v>OFF</v>
      </c>
      <c r="P2063" t="str">
        <f t="shared" si="298"/>
        <v>OFF</v>
      </c>
      <c r="Q2063" t="str">
        <f t="shared" si="298"/>
        <v>OFF</v>
      </c>
      <c r="R2063" t="str">
        <f t="shared" si="298"/>
        <v>OFF</v>
      </c>
      <c r="S2063" t="str">
        <f t="shared" si="298"/>
        <v>OFF</v>
      </c>
      <c r="T2063" t="str">
        <f t="shared" si="298"/>
        <v>OFF</v>
      </c>
      <c r="U2063" t="str">
        <f t="shared" si="298"/>
        <v>OFF</v>
      </c>
      <c r="V2063" t="str">
        <f t="shared" si="299"/>
        <v>OFF</v>
      </c>
      <c r="W2063" t="str">
        <f t="shared" si="299"/>
        <v>OFF</v>
      </c>
      <c r="X2063" t="str">
        <f t="shared" si="299"/>
        <v>OFF</v>
      </c>
      <c r="Y2063" t="str">
        <f t="shared" si="299"/>
        <v>OFF</v>
      </c>
      <c r="Z2063" t="str">
        <f t="shared" si="299"/>
        <v>OFF</v>
      </c>
      <c r="AA2063" t="str">
        <f t="shared" si="299"/>
        <v>OFF</v>
      </c>
      <c r="AB2063" t="str">
        <f t="shared" si="299"/>
        <v>OFF</v>
      </c>
      <c r="AC2063" t="str">
        <f t="shared" si="299"/>
        <v>OFF</v>
      </c>
      <c r="AD2063" t="str">
        <f t="shared" si="299"/>
        <v>OFF</v>
      </c>
      <c r="AE2063" t="str">
        <f t="shared" si="299"/>
        <v>OFF</v>
      </c>
      <c r="AF2063" t="str">
        <f t="shared" si="299"/>
        <v>OFF</v>
      </c>
      <c r="AG2063" t="str">
        <f t="shared" si="299"/>
        <v>OFF</v>
      </c>
    </row>
    <row r="2064" spans="1:33">
      <c r="A2064" t="s">
        <v>2906</v>
      </c>
      <c r="B2064" t="str">
        <f t="shared" si="297"/>
        <v>OFF</v>
      </c>
      <c r="C2064" t="str">
        <f t="shared" si="297"/>
        <v>OFF</v>
      </c>
      <c r="D2064" t="str">
        <f t="shared" si="297"/>
        <v>OFF</v>
      </c>
      <c r="E2064" t="str">
        <f t="shared" si="297"/>
        <v>OFF</v>
      </c>
      <c r="F2064" t="str">
        <f t="shared" si="297"/>
        <v>OFF</v>
      </c>
      <c r="G2064" t="str">
        <f t="shared" si="297"/>
        <v>OFF</v>
      </c>
      <c r="H2064" t="str">
        <f t="shared" si="297"/>
        <v>OFF</v>
      </c>
      <c r="I2064" t="str">
        <f t="shared" si="297"/>
        <v>OFF</v>
      </c>
      <c r="J2064" t="str">
        <f t="shared" si="297"/>
        <v>OFF</v>
      </c>
      <c r="K2064" t="str">
        <f t="shared" si="297"/>
        <v>OFF</v>
      </c>
      <c r="L2064" t="str">
        <f t="shared" si="298"/>
        <v>OFF</v>
      </c>
      <c r="M2064" t="str">
        <f t="shared" si="298"/>
        <v>OFF</v>
      </c>
      <c r="N2064" t="str">
        <f t="shared" si="298"/>
        <v>OFF</v>
      </c>
      <c r="O2064" t="str">
        <f t="shared" si="298"/>
        <v>OFF</v>
      </c>
      <c r="P2064" t="str">
        <f t="shared" si="298"/>
        <v>OFF</v>
      </c>
      <c r="Q2064" t="str">
        <f t="shared" si="298"/>
        <v>OFF</v>
      </c>
      <c r="R2064" t="str">
        <f t="shared" si="298"/>
        <v>OFF</v>
      </c>
      <c r="S2064" t="str">
        <f t="shared" si="298"/>
        <v>OFF</v>
      </c>
      <c r="T2064" t="str">
        <f t="shared" si="298"/>
        <v>OFF</v>
      </c>
      <c r="U2064" t="str">
        <f t="shared" si="298"/>
        <v>OFF</v>
      </c>
      <c r="V2064" t="str">
        <f t="shared" si="299"/>
        <v>OFF</v>
      </c>
      <c r="W2064" t="str">
        <f t="shared" si="299"/>
        <v>OFF</v>
      </c>
      <c r="X2064" t="str">
        <f t="shared" si="299"/>
        <v>OFF</v>
      </c>
      <c r="Y2064" t="str">
        <f t="shared" si="299"/>
        <v>OFF</v>
      </c>
      <c r="Z2064" t="str">
        <f t="shared" si="299"/>
        <v>OFF</v>
      </c>
      <c r="AA2064" t="str">
        <f t="shared" si="299"/>
        <v>OFF</v>
      </c>
      <c r="AB2064" t="str">
        <f t="shared" si="299"/>
        <v>OFF</v>
      </c>
      <c r="AC2064" t="str">
        <f t="shared" si="299"/>
        <v>OFF</v>
      </c>
      <c r="AD2064" t="str">
        <f t="shared" si="299"/>
        <v>OFF</v>
      </c>
      <c r="AE2064" t="str">
        <f t="shared" si="299"/>
        <v>OFF</v>
      </c>
      <c r="AF2064" t="str">
        <f t="shared" si="299"/>
        <v>OFF</v>
      </c>
      <c r="AG2064" t="str">
        <f t="shared" si="299"/>
        <v>OFF</v>
      </c>
    </row>
    <row r="2065" spans="1:33">
      <c r="A2065" t="s">
        <v>2907</v>
      </c>
      <c r="B2065" t="str">
        <f t="shared" si="297"/>
        <v>OFF</v>
      </c>
      <c r="C2065" t="str">
        <f t="shared" si="297"/>
        <v>OFF</v>
      </c>
      <c r="D2065" t="str">
        <f t="shared" si="297"/>
        <v>OFF</v>
      </c>
      <c r="E2065" t="str">
        <f t="shared" si="297"/>
        <v>OFF</v>
      </c>
      <c r="F2065" t="str">
        <f t="shared" si="297"/>
        <v>OFF</v>
      </c>
      <c r="G2065" t="str">
        <f t="shared" si="297"/>
        <v>OFF</v>
      </c>
      <c r="H2065" t="str">
        <f t="shared" si="297"/>
        <v>OFF</v>
      </c>
      <c r="I2065" t="str">
        <f t="shared" si="297"/>
        <v>OFF</v>
      </c>
      <c r="J2065" t="str">
        <f t="shared" si="297"/>
        <v>OFF</v>
      </c>
      <c r="K2065" t="str">
        <f t="shared" si="297"/>
        <v>OFF</v>
      </c>
      <c r="L2065" t="str">
        <f t="shared" si="298"/>
        <v>OFF</v>
      </c>
      <c r="M2065" t="str">
        <f t="shared" si="298"/>
        <v>OFF</v>
      </c>
      <c r="N2065" t="str">
        <f t="shared" si="298"/>
        <v>OFF</v>
      </c>
      <c r="O2065" t="str">
        <f t="shared" si="298"/>
        <v>OFF</v>
      </c>
      <c r="P2065" t="str">
        <f t="shared" si="298"/>
        <v>OFF</v>
      </c>
      <c r="Q2065" t="str">
        <f t="shared" si="298"/>
        <v>OFF</v>
      </c>
      <c r="R2065" t="str">
        <f t="shared" si="298"/>
        <v>OFF</v>
      </c>
      <c r="S2065" t="str">
        <f t="shared" si="298"/>
        <v>OFF</v>
      </c>
      <c r="T2065" t="str">
        <f t="shared" si="298"/>
        <v>OFF</v>
      </c>
      <c r="U2065" t="str">
        <f t="shared" si="298"/>
        <v>OFF</v>
      </c>
      <c r="V2065" t="str">
        <f t="shared" si="299"/>
        <v>OFF</v>
      </c>
      <c r="W2065" t="str">
        <f t="shared" si="299"/>
        <v>OFF</v>
      </c>
      <c r="X2065" t="str">
        <f t="shared" si="299"/>
        <v>OFF</v>
      </c>
      <c r="Y2065" t="str">
        <f t="shared" si="299"/>
        <v>OFF</v>
      </c>
      <c r="Z2065" t="str">
        <f t="shared" si="299"/>
        <v>OFF</v>
      </c>
      <c r="AA2065" t="str">
        <f t="shared" si="299"/>
        <v>OFF</v>
      </c>
      <c r="AB2065" t="str">
        <f t="shared" si="299"/>
        <v>OFF</v>
      </c>
      <c r="AC2065" t="str">
        <f t="shared" si="299"/>
        <v>OFF</v>
      </c>
      <c r="AD2065" t="str">
        <f t="shared" si="299"/>
        <v>OFF</v>
      </c>
      <c r="AE2065" t="str">
        <f t="shared" si="299"/>
        <v>OFF</v>
      </c>
      <c r="AF2065" t="str">
        <f t="shared" si="299"/>
        <v>OFF</v>
      </c>
      <c r="AG2065" t="str">
        <f t="shared" si="299"/>
        <v>OFF</v>
      </c>
    </row>
    <row r="2066" spans="1:33">
      <c r="A2066" t="s">
        <v>2908</v>
      </c>
      <c r="B2066" t="str">
        <f t="shared" si="297"/>
        <v>OFF</v>
      </c>
      <c r="C2066" t="str">
        <f t="shared" si="297"/>
        <v>OFF</v>
      </c>
      <c r="D2066" t="str">
        <f t="shared" si="297"/>
        <v>OFF</v>
      </c>
      <c r="E2066" t="str">
        <f t="shared" si="297"/>
        <v>OFF</v>
      </c>
      <c r="F2066" t="str">
        <f t="shared" si="297"/>
        <v>OFF</v>
      </c>
      <c r="G2066" t="str">
        <f t="shared" si="297"/>
        <v>OFF</v>
      </c>
      <c r="H2066" t="str">
        <f t="shared" si="297"/>
        <v>OFF</v>
      </c>
      <c r="I2066" t="str">
        <f t="shared" si="297"/>
        <v>OFF</v>
      </c>
      <c r="J2066" t="str">
        <f t="shared" si="297"/>
        <v>OFF</v>
      </c>
      <c r="K2066" t="str">
        <f t="shared" si="297"/>
        <v>OFF</v>
      </c>
      <c r="L2066" t="str">
        <f t="shared" si="298"/>
        <v>OFF</v>
      </c>
      <c r="M2066" t="str">
        <f t="shared" si="298"/>
        <v>OFF</v>
      </c>
      <c r="N2066" t="str">
        <f t="shared" si="298"/>
        <v>OFF</v>
      </c>
      <c r="O2066" t="str">
        <f t="shared" si="298"/>
        <v>OFF</v>
      </c>
      <c r="P2066" t="str">
        <f t="shared" si="298"/>
        <v>OFF</v>
      </c>
      <c r="Q2066" t="str">
        <f t="shared" si="298"/>
        <v>OFF</v>
      </c>
      <c r="R2066" t="str">
        <f t="shared" si="298"/>
        <v>OFF</v>
      </c>
      <c r="S2066" t="str">
        <f t="shared" si="298"/>
        <v>OFF</v>
      </c>
      <c r="T2066" t="str">
        <f t="shared" si="298"/>
        <v>OFF</v>
      </c>
      <c r="U2066" t="str">
        <f t="shared" si="298"/>
        <v>OFF</v>
      </c>
      <c r="V2066" t="str">
        <f t="shared" si="299"/>
        <v>OFF</v>
      </c>
      <c r="W2066" t="str">
        <f t="shared" si="299"/>
        <v>OFF</v>
      </c>
      <c r="X2066" t="str">
        <f t="shared" si="299"/>
        <v>OFF</v>
      </c>
      <c r="Y2066" t="str">
        <f t="shared" si="299"/>
        <v>OFF</v>
      </c>
      <c r="Z2066" t="str">
        <f t="shared" si="299"/>
        <v>OFF</v>
      </c>
      <c r="AA2066" t="str">
        <f t="shared" si="299"/>
        <v>OFF</v>
      </c>
      <c r="AB2066" t="str">
        <f t="shared" si="299"/>
        <v>OFF</v>
      </c>
      <c r="AC2066" t="str">
        <f t="shared" si="299"/>
        <v>OFF</v>
      </c>
      <c r="AD2066" t="str">
        <f t="shared" si="299"/>
        <v>OFF</v>
      </c>
      <c r="AE2066" t="str">
        <f t="shared" si="299"/>
        <v>OFF</v>
      </c>
      <c r="AF2066" t="str">
        <f t="shared" si="299"/>
        <v>OFF</v>
      </c>
      <c r="AG2066" t="str">
        <f t="shared" si="299"/>
        <v>OFF</v>
      </c>
    </row>
    <row r="2067" spans="1:33">
      <c r="A2067" t="s">
        <v>2909</v>
      </c>
      <c r="B2067" t="str">
        <f t="shared" si="297"/>
        <v>OFF</v>
      </c>
      <c r="C2067" t="str">
        <f t="shared" si="297"/>
        <v>OFF</v>
      </c>
      <c r="D2067" t="str">
        <f t="shared" si="297"/>
        <v>OFF</v>
      </c>
      <c r="E2067" t="str">
        <f t="shared" si="297"/>
        <v>OFF</v>
      </c>
      <c r="F2067" t="str">
        <f t="shared" si="297"/>
        <v>OFF</v>
      </c>
      <c r="G2067" t="str">
        <f t="shared" si="297"/>
        <v>OFF</v>
      </c>
      <c r="H2067" t="str">
        <f t="shared" si="297"/>
        <v>OFF</v>
      </c>
      <c r="I2067" t="str">
        <f t="shared" si="297"/>
        <v>OFF</v>
      </c>
      <c r="J2067" t="str">
        <f t="shared" si="297"/>
        <v>OFF</v>
      </c>
      <c r="K2067" t="str">
        <f t="shared" si="297"/>
        <v>OFF</v>
      </c>
      <c r="L2067" t="str">
        <f t="shared" si="298"/>
        <v>OFF</v>
      </c>
      <c r="M2067" t="str">
        <f t="shared" si="298"/>
        <v>OFF</v>
      </c>
      <c r="N2067" t="str">
        <f t="shared" si="298"/>
        <v>OFF</v>
      </c>
      <c r="O2067" t="str">
        <f t="shared" si="298"/>
        <v>OFF</v>
      </c>
      <c r="P2067" t="str">
        <f t="shared" si="298"/>
        <v>OFF</v>
      </c>
      <c r="Q2067" t="str">
        <f t="shared" si="298"/>
        <v>OFF</v>
      </c>
      <c r="R2067" t="str">
        <f t="shared" si="298"/>
        <v>OFF</v>
      </c>
      <c r="S2067" t="str">
        <f t="shared" si="298"/>
        <v>OFF</v>
      </c>
      <c r="T2067" t="str">
        <f t="shared" si="298"/>
        <v>OFF</v>
      </c>
      <c r="U2067" t="str">
        <f t="shared" si="298"/>
        <v>OFF</v>
      </c>
      <c r="V2067" t="str">
        <f t="shared" si="299"/>
        <v>OFF</v>
      </c>
      <c r="W2067" t="str">
        <f t="shared" si="299"/>
        <v>OFF</v>
      </c>
      <c r="X2067" t="str">
        <f t="shared" si="299"/>
        <v>OFF</v>
      </c>
      <c r="Y2067" t="str">
        <f t="shared" si="299"/>
        <v>OFF</v>
      </c>
      <c r="Z2067" t="str">
        <f t="shared" si="299"/>
        <v>OFF</v>
      </c>
      <c r="AA2067" t="str">
        <f t="shared" si="299"/>
        <v>OFF</v>
      </c>
      <c r="AB2067" t="str">
        <f t="shared" si="299"/>
        <v>OFF</v>
      </c>
      <c r="AC2067" t="str">
        <f t="shared" si="299"/>
        <v>OFF</v>
      </c>
      <c r="AD2067" t="str">
        <f t="shared" si="299"/>
        <v>OFF</v>
      </c>
      <c r="AE2067" t="str">
        <f t="shared" si="299"/>
        <v>OFF</v>
      </c>
      <c r="AF2067" t="str">
        <f t="shared" si="299"/>
        <v>OFF</v>
      </c>
      <c r="AG2067" t="str">
        <f t="shared" si="299"/>
        <v>OFF</v>
      </c>
    </row>
    <row r="2068" spans="1:33">
      <c r="A2068" t="s">
        <v>2910</v>
      </c>
      <c r="B2068" t="str">
        <f t="shared" si="297"/>
        <v>OFF</v>
      </c>
      <c r="C2068" t="str">
        <f t="shared" si="297"/>
        <v>OFF</v>
      </c>
      <c r="D2068" t="str">
        <f t="shared" si="297"/>
        <v>OFF</v>
      </c>
      <c r="E2068" t="str">
        <f t="shared" si="297"/>
        <v>OFF</v>
      </c>
      <c r="F2068" t="str">
        <f t="shared" si="297"/>
        <v>OFF</v>
      </c>
      <c r="G2068" t="str">
        <f t="shared" si="297"/>
        <v>OFF</v>
      </c>
      <c r="H2068" t="str">
        <f t="shared" si="297"/>
        <v>OFF</v>
      </c>
      <c r="I2068" t="str">
        <f t="shared" si="297"/>
        <v>OFF</v>
      </c>
      <c r="J2068" t="str">
        <f t="shared" si="297"/>
        <v>OFF</v>
      </c>
      <c r="K2068" t="str">
        <f t="shared" si="297"/>
        <v>OFF</v>
      </c>
      <c r="L2068" t="str">
        <f t="shared" si="298"/>
        <v>OFF</v>
      </c>
      <c r="M2068" t="str">
        <f t="shared" si="298"/>
        <v>OFF</v>
      </c>
      <c r="N2068" t="str">
        <f t="shared" si="298"/>
        <v>OFF</v>
      </c>
      <c r="O2068" t="str">
        <f t="shared" si="298"/>
        <v>OFF</v>
      </c>
      <c r="P2068" t="str">
        <f t="shared" si="298"/>
        <v>OFF</v>
      </c>
      <c r="Q2068" t="str">
        <f t="shared" si="298"/>
        <v>OFF</v>
      </c>
      <c r="R2068" t="str">
        <f t="shared" si="298"/>
        <v>OFF</v>
      </c>
      <c r="S2068" t="str">
        <f t="shared" si="298"/>
        <v>OFF</v>
      </c>
      <c r="T2068" t="str">
        <f t="shared" si="298"/>
        <v>OFF</v>
      </c>
      <c r="U2068" t="str">
        <f t="shared" si="298"/>
        <v>OFF</v>
      </c>
      <c r="V2068" t="str">
        <f t="shared" si="299"/>
        <v>OFF</v>
      </c>
      <c r="W2068" t="str">
        <f t="shared" si="299"/>
        <v>OFF</v>
      </c>
      <c r="X2068" t="str">
        <f t="shared" si="299"/>
        <v>OFF</v>
      </c>
      <c r="Y2068" t="str">
        <f t="shared" si="299"/>
        <v>OFF</v>
      </c>
      <c r="Z2068" t="str">
        <f t="shared" si="299"/>
        <v>OFF</v>
      </c>
      <c r="AA2068" t="str">
        <f t="shared" si="299"/>
        <v>OFF</v>
      </c>
      <c r="AB2068" t="str">
        <f t="shared" si="299"/>
        <v>OFF</v>
      </c>
      <c r="AC2068" t="str">
        <f t="shared" si="299"/>
        <v>OFF</v>
      </c>
      <c r="AD2068" t="str">
        <f t="shared" si="299"/>
        <v>OFF</v>
      </c>
      <c r="AE2068" t="str">
        <f t="shared" si="299"/>
        <v>OFF</v>
      </c>
      <c r="AF2068" t="str">
        <f t="shared" si="299"/>
        <v>OFF</v>
      </c>
      <c r="AG2068" t="str">
        <f t="shared" si="299"/>
        <v>OFF</v>
      </c>
    </row>
    <row r="2069" spans="1:33">
      <c r="A2069" t="s">
        <v>2911</v>
      </c>
      <c r="B2069" t="str">
        <f t="shared" ref="B2069:K2078" si="300">"OFF"</f>
        <v>OFF</v>
      </c>
      <c r="C2069" t="str">
        <f t="shared" si="300"/>
        <v>OFF</v>
      </c>
      <c r="D2069" t="str">
        <f t="shared" si="300"/>
        <v>OFF</v>
      </c>
      <c r="E2069" t="str">
        <f t="shared" si="300"/>
        <v>OFF</v>
      </c>
      <c r="F2069" t="str">
        <f t="shared" si="300"/>
        <v>OFF</v>
      </c>
      <c r="G2069" t="str">
        <f t="shared" si="300"/>
        <v>OFF</v>
      </c>
      <c r="H2069" t="str">
        <f t="shared" si="300"/>
        <v>OFF</v>
      </c>
      <c r="I2069" t="str">
        <f t="shared" si="300"/>
        <v>OFF</v>
      </c>
      <c r="J2069" t="str">
        <f t="shared" si="300"/>
        <v>OFF</v>
      </c>
      <c r="K2069" t="str">
        <f t="shared" si="300"/>
        <v>OFF</v>
      </c>
      <c r="L2069" t="str">
        <f t="shared" ref="L2069:U2078" si="301">"OFF"</f>
        <v>OFF</v>
      </c>
      <c r="M2069" t="str">
        <f t="shared" si="301"/>
        <v>OFF</v>
      </c>
      <c r="N2069" t="str">
        <f t="shared" si="301"/>
        <v>OFF</v>
      </c>
      <c r="O2069" t="str">
        <f t="shared" si="301"/>
        <v>OFF</v>
      </c>
      <c r="P2069" t="str">
        <f t="shared" si="301"/>
        <v>OFF</v>
      </c>
      <c r="Q2069" t="str">
        <f t="shared" si="301"/>
        <v>OFF</v>
      </c>
      <c r="R2069" t="str">
        <f t="shared" si="301"/>
        <v>OFF</v>
      </c>
      <c r="S2069" t="str">
        <f t="shared" si="301"/>
        <v>OFF</v>
      </c>
      <c r="T2069" t="str">
        <f t="shared" si="301"/>
        <v>OFF</v>
      </c>
      <c r="U2069" t="str">
        <f t="shared" si="301"/>
        <v>OFF</v>
      </c>
      <c r="V2069" t="str">
        <f t="shared" ref="V2069:AG2078" si="302">"OFF"</f>
        <v>OFF</v>
      </c>
      <c r="W2069" t="str">
        <f t="shared" si="302"/>
        <v>OFF</v>
      </c>
      <c r="X2069" t="str">
        <f t="shared" si="302"/>
        <v>OFF</v>
      </c>
      <c r="Y2069" t="str">
        <f t="shared" si="302"/>
        <v>OFF</v>
      </c>
      <c r="Z2069" t="str">
        <f t="shared" si="302"/>
        <v>OFF</v>
      </c>
      <c r="AA2069" t="str">
        <f t="shared" si="302"/>
        <v>OFF</v>
      </c>
      <c r="AB2069" t="str">
        <f t="shared" si="302"/>
        <v>OFF</v>
      </c>
      <c r="AC2069" t="str">
        <f t="shared" si="302"/>
        <v>OFF</v>
      </c>
      <c r="AD2069" t="str">
        <f t="shared" si="302"/>
        <v>OFF</v>
      </c>
      <c r="AE2069" t="str">
        <f t="shared" si="302"/>
        <v>OFF</v>
      </c>
      <c r="AF2069" t="str">
        <f t="shared" si="302"/>
        <v>OFF</v>
      </c>
      <c r="AG2069" t="str">
        <f t="shared" si="302"/>
        <v>OFF</v>
      </c>
    </row>
    <row r="2070" spans="1:33">
      <c r="A2070" t="s">
        <v>2912</v>
      </c>
      <c r="B2070" t="str">
        <f t="shared" si="300"/>
        <v>OFF</v>
      </c>
      <c r="C2070" t="str">
        <f t="shared" si="300"/>
        <v>OFF</v>
      </c>
      <c r="D2070" t="str">
        <f t="shared" si="300"/>
        <v>OFF</v>
      </c>
      <c r="E2070" t="str">
        <f t="shared" si="300"/>
        <v>OFF</v>
      </c>
      <c r="F2070" t="str">
        <f t="shared" si="300"/>
        <v>OFF</v>
      </c>
      <c r="G2070" t="str">
        <f t="shared" si="300"/>
        <v>OFF</v>
      </c>
      <c r="H2070" t="str">
        <f t="shared" si="300"/>
        <v>OFF</v>
      </c>
      <c r="I2070" t="str">
        <f t="shared" si="300"/>
        <v>OFF</v>
      </c>
      <c r="J2070" t="str">
        <f t="shared" si="300"/>
        <v>OFF</v>
      </c>
      <c r="K2070" t="str">
        <f t="shared" si="300"/>
        <v>OFF</v>
      </c>
      <c r="L2070" t="str">
        <f t="shared" si="301"/>
        <v>OFF</v>
      </c>
      <c r="M2070" t="str">
        <f t="shared" si="301"/>
        <v>OFF</v>
      </c>
      <c r="N2070" t="str">
        <f t="shared" si="301"/>
        <v>OFF</v>
      </c>
      <c r="O2070" t="str">
        <f t="shared" si="301"/>
        <v>OFF</v>
      </c>
      <c r="P2070" t="str">
        <f t="shared" si="301"/>
        <v>OFF</v>
      </c>
      <c r="Q2070" t="str">
        <f t="shared" si="301"/>
        <v>OFF</v>
      </c>
      <c r="R2070" t="str">
        <f t="shared" si="301"/>
        <v>OFF</v>
      </c>
      <c r="S2070" t="str">
        <f t="shared" si="301"/>
        <v>OFF</v>
      </c>
      <c r="T2070" t="str">
        <f t="shared" si="301"/>
        <v>OFF</v>
      </c>
      <c r="U2070" t="str">
        <f t="shared" si="301"/>
        <v>OFF</v>
      </c>
      <c r="V2070" t="str">
        <f t="shared" si="302"/>
        <v>OFF</v>
      </c>
      <c r="W2070" t="str">
        <f t="shared" si="302"/>
        <v>OFF</v>
      </c>
      <c r="X2070" t="str">
        <f t="shared" si="302"/>
        <v>OFF</v>
      </c>
      <c r="Y2070" t="str">
        <f t="shared" si="302"/>
        <v>OFF</v>
      </c>
      <c r="Z2070" t="str">
        <f t="shared" si="302"/>
        <v>OFF</v>
      </c>
      <c r="AA2070" t="str">
        <f t="shared" si="302"/>
        <v>OFF</v>
      </c>
      <c r="AB2070" t="str">
        <f t="shared" si="302"/>
        <v>OFF</v>
      </c>
      <c r="AC2070" t="str">
        <f t="shared" si="302"/>
        <v>OFF</v>
      </c>
      <c r="AD2070" t="str">
        <f t="shared" si="302"/>
        <v>OFF</v>
      </c>
      <c r="AE2070" t="str">
        <f t="shared" si="302"/>
        <v>OFF</v>
      </c>
      <c r="AF2070" t="str">
        <f t="shared" si="302"/>
        <v>OFF</v>
      </c>
      <c r="AG2070" t="str">
        <f t="shared" si="302"/>
        <v>OFF</v>
      </c>
    </row>
    <row r="2071" spans="1:33">
      <c r="A2071" t="s">
        <v>2913</v>
      </c>
      <c r="B2071" t="str">
        <f t="shared" si="300"/>
        <v>OFF</v>
      </c>
      <c r="C2071" t="str">
        <f t="shared" si="300"/>
        <v>OFF</v>
      </c>
      <c r="D2071" t="str">
        <f t="shared" si="300"/>
        <v>OFF</v>
      </c>
      <c r="E2071" t="str">
        <f t="shared" si="300"/>
        <v>OFF</v>
      </c>
      <c r="F2071" t="str">
        <f t="shared" si="300"/>
        <v>OFF</v>
      </c>
      <c r="G2071" t="str">
        <f t="shared" si="300"/>
        <v>OFF</v>
      </c>
      <c r="H2071" t="str">
        <f t="shared" si="300"/>
        <v>OFF</v>
      </c>
      <c r="I2071" t="str">
        <f t="shared" si="300"/>
        <v>OFF</v>
      </c>
      <c r="J2071" t="str">
        <f t="shared" si="300"/>
        <v>OFF</v>
      </c>
      <c r="K2071" t="str">
        <f t="shared" si="300"/>
        <v>OFF</v>
      </c>
      <c r="L2071" t="str">
        <f t="shared" si="301"/>
        <v>OFF</v>
      </c>
      <c r="M2071" t="str">
        <f t="shared" si="301"/>
        <v>OFF</v>
      </c>
      <c r="N2071" t="str">
        <f t="shared" si="301"/>
        <v>OFF</v>
      </c>
      <c r="O2071" t="str">
        <f t="shared" si="301"/>
        <v>OFF</v>
      </c>
      <c r="P2071" t="str">
        <f t="shared" si="301"/>
        <v>OFF</v>
      </c>
      <c r="Q2071" t="str">
        <f t="shared" si="301"/>
        <v>OFF</v>
      </c>
      <c r="R2071" t="str">
        <f t="shared" si="301"/>
        <v>OFF</v>
      </c>
      <c r="S2071" t="str">
        <f t="shared" si="301"/>
        <v>OFF</v>
      </c>
      <c r="T2071" t="str">
        <f t="shared" si="301"/>
        <v>OFF</v>
      </c>
      <c r="U2071" t="str">
        <f t="shared" si="301"/>
        <v>OFF</v>
      </c>
      <c r="V2071" t="str">
        <f t="shared" si="302"/>
        <v>OFF</v>
      </c>
      <c r="W2071" t="str">
        <f t="shared" si="302"/>
        <v>OFF</v>
      </c>
      <c r="X2071" t="str">
        <f t="shared" si="302"/>
        <v>OFF</v>
      </c>
      <c r="Y2071" t="str">
        <f t="shared" si="302"/>
        <v>OFF</v>
      </c>
      <c r="Z2071" t="str">
        <f t="shared" si="302"/>
        <v>OFF</v>
      </c>
      <c r="AA2071" t="str">
        <f t="shared" si="302"/>
        <v>OFF</v>
      </c>
      <c r="AB2071" t="str">
        <f t="shared" si="302"/>
        <v>OFF</v>
      </c>
      <c r="AC2071" t="str">
        <f t="shared" si="302"/>
        <v>OFF</v>
      </c>
      <c r="AD2071" t="str">
        <f t="shared" si="302"/>
        <v>OFF</v>
      </c>
      <c r="AE2071" t="str">
        <f t="shared" si="302"/>
        <v>OFF</v>
      </c>
      <c r="AF2071" t="str">
        <f t="shared" si="302"/>
        <v>OFF</v>
      </c>
      <c r="AG2071" t="str">
        <f t="shared" si="302"/>
        <v>OFF</v>
      </c>
    </row>
    <row r="2072" spans="1:33">
      <c r="A2072" t="s">
        <v>2914</v>
      </c>
      <c r="B2072" t="str">
        <f t="shared" si="300"/>
        <v>OFF</v>
      </c>
      <c r="C2072" t="str">
        <f t="shared" si="300"/>
        <v>OFF</v>
      </c>
      <c r="D2072" t="str">
        <f t="shared" si="300"/>
        <v>OFF</v>
      </c>
      <c r="E2072" t="str">
        <f t="shared" si="300"/>
        <v>OFF</v>
      </c>
      <c r="F2072" t="str">
        <f t="shared" si="300"/>
        <v>OFF</v>
      </c>
      <c r="G2072" t="str">
        <f t="shared" si="300"/>
        <v>OFF</v>
      </c>
      <c r="H2072" t="str">
        <f t="shared" si="300"/>
        <v>OFF</v>
      </c>
      <c r="I2072" t="str">
        <f t="shared" si="300"/>
        <v>OFF</v>
      </c>
      <c r="J2072" t="str">
        <f t="shared" si="300"/>
        <v>OFF</v>
      </c>
      <c r="K2072" t="str">
        <f t="shared" si="300"/>
        <v>OFF</v>
      </c>
      <c r="L2072" t="str">
        <f t="shared" si="301"/>
        <v>OFF</v>
      </c>
      <c r="M2072" t="str">
        <f t="shared" si="301"/>
        <v>OFF</v>
      </c>
      <c r="N2072" t="str">
        <f t="shared" si="301"/>
        <v>OFF</v>
      </c>
      <c r="O2072" t="str">
        <f t="shared" si="301"/>
        <v>OFF</v>
      </c>
      <c r="P2072" t="str">
        <f t="shared" si="301"/>
        <v>OFF</v>
      </c>
      <c r="Q2072" t="str">
        <f t="shared" si="301"/>
        <v>OFF</v>
      </c>
      <c r="R2072" t="str">
        <f t="shared" si="301"/>
        <v>OFF</v>
      </c>
      <c r="S2072" t="str">
        <f t="shared" si="301"/>
        <v>OFF</v>
      </c>
      <c r="T2072" t="str">
        <f t="shared" si="301"/>
        <v>OFF</v>
      </c>
      <c r="U2072" t="str">
        <f t="shared" si="301"/>
        <v>OFF</v>
      </c>
      <c r="V2072" t="str">
        <f t="shared" si="302"/>
        <v>OFF</v>
      </c>
      <c r="W2072" t="str">
        <f t="shared" si="302"/>
        <v>OFF</v>
      </c>
      <c r="X2072" t="str">
        <f t="shared" si="302"/>
        <v>OFF</v>
      </c>
      <c r="Y2072" t="str">
        <f t="shared" si="302"/>
        <v>OFF</v>
      </c>
      <c r="Z2072" t="str">
        <f t="shared" si="302"/>
        <v>OFF</v>
      </c>
      <c r="AA2072" t="str">
        <f t="shared" si="302"/>
        <v>OFF</v>
      </c>
      <c r="AB2072" t="str">
        <f t="shared" si="302"/>
        <v>OFF</v>
      </c>
      <c r="AC2072" t="str">
        <f t="shared" si="302"/>
        <v>OFF</v>
      </c>
      <c r="AD2072" t="str">
        <f t="shared" si="302"/>
        <v>OFF</v>
      </c>
      <c r="AE2072" t="str">
        <f t="shared" si="302"/>
        <v>OFF</v>
      </c>
      <c r="AF2072" t="str">
        <f t="shared" si="302"/>
        <v>OFF</v>
      </c>
      <c r="AG2072" t="str">
        <f t="shared" si="302"/>
        <v>OFF</v>
      </c>
    </row>
    <row r="2073" spans="1:33">
      <c r="A2073" t="s">
        <v>2915</v>
      </c>
      <c r="B2073" t="str">
        <f t="shared" si="300"/>
        <v>OFF</v>
      </c>
      <c r="C2073" t="str">
        <f t="shared" si="300"/>
        <v>OFF</v>
      </c>
      <c r="D2073" t="str">
        <f t="shared" si="300"/>
        <v>OFF</v>
      </c>
      <c r="E2073" t="str">
        <f t="shared" si="300"/>
        <v>OFF</v>
      </c>
      <c r="F2073" t="str">
        <f t="shared" si="300"/>
        <v>OFF</v>
      </c>
      <c r="G2073" t="str">
        <f t="shared" si="300"/>
        <v>OFF</v>
      </c>
      <c r="H2073" t="str">
        <f t="shared" si="300"/>
        <v>OFF</v>
      </c>
      <c r="I2073" t="str">
        <f t="shared" si="300"/>
        <v>OFF</v>
      </c>
      <c r="J2073" t="str">
        <f t="shared" si="300"/>
        <v>OFF</v>
      </c>
      <c r="K2073" t="str">
        <f t="shared" si="300"/>
        <v>OFF</v>
      </c>
      <c r="L2073" t="str">
        <f t="shared" si="301"/>
        <v>OFF</v>
      </c>
      <c r="M2073" t="str">
        <f t="shared" si="301"/>
        <v>OFF</v>
      </c>
      <c r="N2073" t="str">
        <f t="shared" si="301"/>
        <v>OFF</v>
      </c>
      <c r="O2073" t="str">
        <f t="shared" si="301"/>
        <v>OFF</v>
      </c>
      <c r="P2073" t="str">
        <f t="shared" si="301"/>
        <v>OFF</v>
      </c>
      <c r="Q2073" t="str">
        <f t="shared" si="301"/>
        <v>OFF</v>
      </c>
      <c r="R2073" t="str">
        <f t="shared" si="301"/>
        <v>OFF</v>
      </c>
      <c r="S2073" t="str">
        <f t="shared" si="301"/>
        <v>OFF</v>
      </c>
      <c r="T2073" t="str">
        <f t="shared" si="301"/>
        <v>OFF</v>
      </c>
      <c r="U2073" t="str">
        <f t="shared" si="301"/>
        <v>OFF</v>
      </c>
      <c r="V2073" t="str">
        <f t="shared" si="302"/>
        <v>OFF</v>
      </c>
      <c r="W2073" t="str">
        <f t="shared" si="302"/>
        <v>OFF</v>
      </c>
      <c r="X2073" t="str">
        <f t="shared" si="302"/>
        <v>OFF</v>
      </c>
      <c r="Y2073" t="str">
        <f t="shared" si="302"/>
        <v>OFF</v>
      </c>
      <c r="Z2073" t="str">
        <f t="shared" si="302"/>
        <v>OFF</v>
      </c>
      <c r="AA2073" t="str">
        <f t="shared" si="302"/>
        <v>OFF</v>
      </c>
      <c r="AB2073" t="str">
        <f t="shared" si="302"/>
        <v>OFF</v>
      </c>
      <c r="AC2073" t="str">
        <f t="shared" si="302"/>
        <v>OFF</v>
      </c>
      <c r="AD2073" t="str">
        <f t="shared" si="302"/>
        <v>OFF</v>
      </c>
      <c r="AE2073" t="str">
        <f t="shared" si="302"/>
        <v>OFF</v>
      </c>
      <c r="AF2073" t="str">
        <f t="shared" si="302"/>
        <v>OFF</v>
      </c>
      <c r="AG2073" t="str">
        <f t="shared" si="302"/>
        <v>OFF</v>
      </c>
    </row>
    <row r="2074" spans="1:33">
      <c r="A2074" t="s">
        <v>2916</v>
      </c>
      <c r="B2074" t="str">
        <f t="shared" si="300"/>
        <v>OFF</v>
      </c>
      <c r="C2074" t="str">
        <f t="shared" si="300"/>
        <v>OFF</v>
      </c>
      <c r="D2074" t="str">
        <f t="shared" si="300"/>
        <v>OFF</v>
      </c>
      <c r="E2074" t="str">
        <f t="shared" si="300"/>
        <v>OFF</v>
      </c>
      <c r="F2074" t="str">
        <f t="shared" si="300"/>
        <v>OFF</v>
      </c>
      <c r="G2074" t="str">
        <f t="shared" si="300"/>
        <v>OFF</v>
      </c>
      <c r="H2074" t="str">
        <f t="shared" si="300"/>
        <v>OFF</v>
      </c>
      <c r="I2074" t="str">
        <f t="shared" si="300"/>
        <v>OFF</v>
      </c>
      <c r="J2074" t="str">
        <f t="shared" si="300"/>
        <v>OFF</v>
      </c>
      <c r="K2074" t="str">
        <f t="shared" si="300"/>
        <v>OFF</v>
      </c>
      <c r="L2074" t="str">
        <f t="shared" si="301"/>
        <v>OFF</v>
      </c>
      <c r="M2074" t="str">
        <f t="shared" si="301"/>
        <v>OFF</v>
      </c>
      <c r="N2074" t="str">
        <f t="shared" si="301"/>
        <v>OFF</v>
      </c>
      <c r="O2074" t="str">
        <f t="shared" si="301"/>
        <v>OFF</v>
      </c>
      <c r="P2074" t="str">
        <f t="shared" si="301"/>
        <v>OFF</v>
      </c>
      <c r="Q2074" t="str">
        <f t="shared" si="301"/>
        <v>OFF</v>
      </c>
      <c r="R2074" t="str">
        <f t="shared" si="301"/>
        <v>OFF</v>
      </c>
      <c r="S2074" t="str">
        <f t="shared" si="301"/>
        <v>OFF</v>
      </c>
      <c r="T2074" t="str">
        <f t="shared" si="301"/>
        <v>OFF</v>
      </c>
      <c r="U2074" t="str">
        <f t="shared" si="301"/>
        <v>OFF</v>
      </c>
      <c r="V2074" t="str">
        <f t="shared" si="302"/>
        <v>OFF</v>
      </c>
      <c r="W2074" t="str">
        <f t="shared" si="302"/>
        <v>OFF</v>
      </c>
      <c r="X2074" t="str">
        <f t="shared" si="302"/>
        <v>OFF</v>
      </c>
      <c r="Y2074" t="str">
        <f t="shared" si="302"/>
        <v>OFF</v>
      </c>
      <c r="Z2074" t="str">
        <f t="shared" si="302"/>
        <v>OFF</v>
      </c>
      <c r="AA2074" t="str">
        <f t="shared" si="302"/>
        <v>OFF</v>
      </c>
      <c r="AB2074" t="str">
        <f t="shared" si="302"/>
        <v>OFF</v>
      </c>
      <c r="AC2074" t="str">
        <f t="shared" si="302"/>
        <v>OFF</v>
      </c>
      <c r="AD2074" t="str">
        <f t="shared" si="302"/>
        <v>OFF</v>
      </c>
      <c r="AE2074" t="str">
        <f t="shared" si="302"/>
        <v>OFF</v>
      </c>
      <c r="AF2074" t="str">
        <f t="shared" si="302"/>
        <v>OFF</v>
      </c>
      <c r="AG2074" t="str">
        <f t="shared" si="302"/>
        <v>OFF</v>
      </c>
    </row>
    <row r="2075" spans="1:33">
      <c r="A2075" t="s">
        <v>2917</v>
      </c>
      <c r="B2075" t="str">
        <f t="shared" si="300"/>
        <v>OFF</v>
      </c>
      <c r="C2075" t="str">
        <f t="shared" si="300"/>
        <v>OFF</v>
      </c>
      <c r="D2075" t="str">
        <f t="shared" si="300"/>
        <v>OFF</v>
      </c>
      <c r="E2075" t="str">
        <f t="shared" si="300"/>
        <v>OFF</v>
      </c>
      <c r="F2075" t="str">
        <f t="shared" si="300"/>
        <v>OFF</v>
      </c>
      <c r="G2075" t="str">
        <f t="shared" si="300"/>
        <v>OFF</v>
      </c>
      <c r="H2075" t="str">
        <f t="shared" si="300"/>
        <v>OFF</v>
      </c>
      <c r="I2075" t="str">
        <f t="shared" si="300"/>
        <v>OFF</v>
      </c>
      <c r="J2075" t="str">
        <f t="shared" si="300"/>
        <v>OFF</v>
      </c>
      <c r="K2075" t="str">
        <f t="shared" si="300"/>
        <v>OFF</v>
      </c>
      <c r="L2075" t="str">
        <f t="shared" si="301"/>
        <v>OFF</v>
      </c>
      <c r="M2075" t="str">
        <f t="shared" si="301"/>
        <v>OFF</v>
      </c>
      <c r="N2075" t="str">
        <f t="shared" si="301"/>
        <v>OFF</v>
      </c>
      <c r="O2075" t="str">
        <f t="shared" si="301"/>
        <v>OFF</v>
      </c>
      <c r="P2075" t="str">
        <f t="shared" si="301"/>
        <v>OFF</v>
      </c>
      <c r="Q2075" t="str">
        <f t="shared" si="301"/>
        <v>OFF</v>
      </c>
      <c r="R2075" t="str">
        <f t="shared" si="301"/>
        <v>OFF</v>
      </c>
      <c r="S2075" t="str">
        <f t="shared" si="301"/>
        <v>OFF</v>
      </c>
      <c r="T2075" t="str">
        <f t="shared" si="301"/>
        <v>OFF</v>
      </c>
      <c r="U2075" t="str">
        <f t="shared" si="301"/>
        <v>OFF</v>
      </c>
      <c r="V2075" t="str">
        <f t="shared" si="302"/>
        <v>OFF</v>
      </c>
      <c r="W2075" t="str">
        <f t="shared" si="302"/>
        <v>OFF</v>
      </c>
      <c r="X2075" t="str">
        <f t="shared" si="302"/>
        <v>OFF</v>
      </c>
      <c r="Y2075" t="str">
        <f t="shared" si="302"/>
        <v>OFF</v>
      </c>
      <c r="Z2075" t="str">
        <f t="shared" si="302"/>
        <v>OFF</v>
      </c>
      <c r="AA2075" t="str">
        <f t="shared" si="302"/>
        <v>OFF</v>
      </c>
      <c r="AB2075" t="str">
        <f t="shared" si="302"/>
        <v>OFF</v>
      </c>
      <c r="AC2075" t="str">
        <f t="shared" si="302"/>
        <v>OFF</v>
      </c>
      <c r="AD2075" t="str">
        <f t="shared" si="302"/>
        <v>OFF</v>
      </c>
      <c r="AE2075" t="str">
        <f t="shared" si="302"/>
        <v>OFF</v>
      </c>
      <c r="AF2075" t="str">
        <f t="shared" si="302"/>
        <v>OFF</v>
      </c>
      <c r="AG2075" t="str">
        <f t="shared" si="302"/>
        <v>OFF</v>
      </c>
    </row>
    <row r="2076" spans="1:33">
      <c r="A2076" t="s">
        <v>2918</v>
      </c>
      <c r="B2076" t="str">
        <f t="shared" si="300"/>
        <v>OFF</v>
      </c>
      <c r="C2076" t="str">
        <f t="shared" si="300"/>
        <v>OFF</v>
      </c>
      <c r="D2076" t="str">
        <f t="shared" si="300"/>
        <v>OFF</v>
      </c>
      <c r="E2076" t="str">
        <f t="shared" si="300"/>
        <v>OFF</v>
      </c>
      <c r="F2076" t="str">
        <f t="shared" si="300"/>
        <v>OFF</v>
      </c>
      <c r="G2076" t="str">
        <f t="shared" si="300"/>
        <v>OFF</v>
      </c>
      <c r="H2076" t="str">
        <f t="shared" si="300"/>
        <v>OFF</v>
      </c>
      <c r="I2076" t="str">
        <f t="shared" si="300"/>
        <v>OFF</v>
      </c>
      <c r="J2076" t="str">
        <f t="shared" si="300"/>
        <v>OFF</v>
      </c>
      <c r="K2076" t="str">
        <f t="shared" si="300"/>
        <v>OFF</v>
      </c>
      <c r="L2076" t="str">
        <f t="shared" si="301"/>
        <v>OFF</v>
      </c>
      <c r="M2076" t="str">
        <f t="shared" si="301"/>
        <v>OFF</v>
      </c>
      <c r="N2076" t="str">
        <f t="shared" si="301"/>
        <v>OFF</v>
      </c>
      <c r="O2076" t="str">
        <f t="shared" si="301"/>
        <v>OFF</v>
      </c>
      <c r="P2076" t="str">
        <f t="shared" si="301"/>
        <v>OFF</v>
      </c>
      <c r="Q2076" t="str">
        <f t="shared" si="301"/>
        <v>OFF</v>
      </c>
      <c r="R2076" t="str">
        <f t="shared" si="301"/>
        <v>OFF</v>
      </c>
      <c r="S2076" t="str">
        <f t="shared" si="301"/>
        <v>OFF</v>
      </c>
      <c r="T2076" t="str">
        <f t="shared" si="301"/>
        <v>OFF</v>
      </c>
      <c r="U2076" t="str">
        <f t="shared" si="301"/>
        <v>OFF</v>
      </c>
      <c r="V2076" t="str">
        <f t="shared" si="302"/>
        <v>OFF</v>
      </c>
      <c r="W2076" t="str">
        <f t="shared" si="302"/>
        <v>OFF</v>
      </c>
      <c r="X2076" t="str">
        <f t="shared" si="302"/>
        <v>OFF</v>
      </c>
      <c r="Y2076" t="str">
        <f t="shared" si="302"/>
        <v>OFF</v>
      </c>
      <c r="Z2076" t="str">
        <f t="shared" si="302"/>
        <v>OFF</v>
      </c>
      <c r="AA2076" t="str">
        <f t="shared" si="302"/>
        <v>OFF</v>
      </c>
      <c r="AB2076" t="str">
        <f t="shared" si="302"/>
        <v>OFF</v>
      </c>
      <c r="AC2076" t="str">
        <f t="shared" si="302"/>
        <v>OFF</v>
      </c>
      <c r="AD2076" t="str">
        <f t="shared" si="302"/>
        <v>OFF</v>
      </c>
      <c r="AE2076" t="str">
        <f t="shared" si="302"/>
        <v>OFF</v>
      </c>
      <c r="AF2076" t="str">
        <f t="shared" si="302"/>
        <v>OFF</v>
      </c>
      <c r="AG2076" t="str">
        <f t="shared" si="302"/>
        <v>OFF</v>
      </c>
    </row>
    <row r="2077" spans="1:33">
      <c r="A2077" t="s">
        <v>2919</v>
      </c>
      <c r="B2077" t="str">
        <f t="shared" si="300"/>
        <v>OFF</v>
      </c>
      <c r="C2077" t="str">
        <f t="shared" si="300"/>
        <v>OFF</v>
      </c>
      <c r="D2077" t="str">
        <f t="shared" si="300"/>
        <v>OFF</v>
      </c>
      <c r="E2077" t="str">
        <f t="shared" si="300"/>
        <v>OFF</v>
      </c>
      <c r="F2077" t="str">
        <f t="shared" si="300"/>
        <v>OFF</v>
      </c>
      <c r="G2077" t="str">
        <f t="shared" si="300"/>
        <v>OFF</v>
      </c>
      <c r="H2077" t="str">
        <f t="shared" si="300"/>
        <v>OFF</v>
      </c>
      <c r="I2077" t="str">
        <f t="shared" si="300"/>
        <v>OFF</v>
      </c>
      <c r="J2077" t="str">
        <f t="shared" si="300"/>
        <v>OFF</v>
      </c>
      <c r="K2077" t="str">
        <f t="shared" si="300"/>
        <v>OFF</v>
      </c>
      <c r="L2077" t="str">
        <f t="shared" si="301"/>
        <v>OFF</v>
      </c>
      <c r="M2077" t="str">
        <f t="shared" si="301"/>
        <v>OFF</v>
      </c>
      <c r="N2077" t="str">
        <f t="shared" si="301"/>
        <v>OFF</v>
      </c>
      <c r="O2077" t="str">
        <f t="shared" si="301"/>
        <v>OFF</v>
      </c>
      <c r="P2077" t="str">
        <f t="shared" si="301"/>
        <v>OFF</v>
      </c>
      <c r="Q2077" t="str">
        <f t="shared" si="301"/>
        <v>OFF</v>
      </c>
      <c r="R2077" t="str">
        <f t="shared" si="301"/>
        <v>OFF</v>
      </c>
      <c r="S2077" t="str">
        <f t="shared" si="301"/>
        <v>OFF</v>
      </c>
      <c r="T2077" t="str">
        <f t="shared" si="301"/>
        <v>OFF</v>
      </c>
      <c r="U2077" t="str">
        <f t="shared" si="301"/>
        <v>OFF</v>
      </c>
      <c r="V2077" t="str">
        <f t="shared" si="302"/>
        <v>OFF</v>
      </c>
      <c r="W2077" t="str">
        <f t="shared" si="302"/>
        <v>OFF</v>
      </c>
      <c r="X2077" t="str">
        <f t="shared" si="302"/>
        <v>OFF</v>
      </c>
      <c r="Y2077" t="str">
        <f t="shared" si="302"/>
        <v>OFF</v>
      </c>
      <c r="Z2077" t="str">
        <f t="shared" si="302"/>
        <v>OFF</v>
      </c>
      <c r="AA2077" t="str">
        <f t="shared" si="302"/>
        <v>OFF</v>
      </c>
      <c r="AB2077" t="str">
        <f t="shared" si="302"/>
        <v>OFF</v>
      </c>
      <c r="AC2077" t="str">
        <f t="shared" si="302"/>
        <v>OFF</v>
      </c>
      <c r="AD2077" t="str">
        <f t="shared" si="302"/>
        <v>OFF</v>
      </c>
      <c r="AE2077" t="str">
        <f t="shared" si="302"/>
        <v>OFF</v>
      </c>
      <c r="AF2077" t="str">
        <f t="shared" si="302"/>
        <v>OFF</v>
      </c>
      <c r="AG2077" t="str">
        <f t="shared" si="302"/>
        <v>OFF</v>
      </c>
    </row>
    <row r="2078" spans="1:33">
      <c r="A2078" t="s">
        <v>2920</v>
      </c>
      <c r="B2078" t="str">
        <f t="shared" si="300"/>
        <v>OFF</v>
      </c>
      <c r="C2078" t="str">
        <f t="shared" si="300"/>
        <v>OFF</v>
      </c>
      <c r="D2078" t="str">
        <f t="shared" si="300"/>
        <v>OFF</v>
      </c>
      <c r="E2078" t="str">
        <f t="shared" si="300"/>
        <v>OFF</v>
      </c>
      <c r="F2078" t="str">
        <f t="shared" si="300"/>
        <v>OFF</v>
      </c>
      <c r="G2078" t="str">
        <f t="shared" si="300"/>
        <v>OFF</v>
      </c>
      <c r="H2078" t="str">
        <f t="shared" si="300"/>
        <v>OFF</v>
      </c>
      <c r="I2078" t="str">
        <f t="shared" si="300"/>
        <v>OFF</v>
      </c>
      <c r="J2078" t="str">
        <f t="shared" si="300"/>
        <v>OFF</v>
      </c>
      <c r="K2078" t="str">
        <f t="shared" si="300"/>
        <v>OFF</v>
      </c>
      <c r="L2078" t="str">
        <f t="shared" si="301"/>
        <v>OFF</v>
      </c>
      <c r="M2078" t="str">
        <f t="shared" si="301"/>
        <v>OFF</v>
      </c>
      <c r="N2078" t="str">
        <f t="shared" si="301"/>
        <v>OFF</v>
      </c>
      <c r="O2078" t="str">
        <f t="shared" si="301"/>
        <v>OFF</v>
      </c>
      <c r="P2078" t="str">
        <f t="shared" si="301"/>
        <v>OFF</v>
      </c>
      <c r="Q2078" t="str">
        <f t="shared" si="301"/>
        <v>OFF</v>
      </c>
      <c r="R2078" t="str">
        <f t="shared" si="301"/>
        <v>OFF</v>
      </c>
      <c r="S2078" t="str">
        <f t="shared" si="301"/>
        <v>OFF</v>
      </c>
      <c r="T2078" t="str">
        <f t="shared" si="301"/>
        <v>OFF</v>
      </c>
      <c r="U2078" t="str">
        <f t="shared" si="301"/>
        <v>OFF</v>
      </c>
      <c r="V2078" t="str">
        <f t="shared" si="302"/>
        <v>OFF</v>
      </c>
      <c r="W2078" t="str">
        <f t="shared" si="302"/>
        <v>OFF</v>
      </c>
      <c r="X2078" t="str">
        <f t="shared" si="302"/>
        <v>OFF</v>
      </c>
      <c r="Y2078" t="str">
        <f t="shared" si="302"/>
        <v>OFF</v>
      </c>
      <c r="Z2078" t="str">
        <f t="shared" si="302"/>
        <v>OFF</v>
      </c>
      <c r="AA2078" t="str">
        <f t="shared" si="302"/>
        <v>OFF</v>
      </c>
      <c r="AB2078" t="str">
        <f t="shared" si="302"/>
        <v>OFF</v>
      </c>
      <c r="AC2078" t="str">
        <f t="shared" si="302"/>
        <v>OFF</v>
      </c>
      <c r="AD2078" t="str">
        <f t="shared" si="302"/>
        <v>OFF</v>
      </c>
      <c r="AE2078" t="str">
        <f t="shared" si="302"/>
        <v>OFF</v>
      </c>
      <c r="AF2078" t="str">
        <f t="shared" si="302"/>
        <v>OFF</v>
      </c>
      <c r="AG2078" t="str">
        <f t="shared" si="302"/>
        <v>OFF</v>
      </c>
    </row>
    <row r="2079" spans="1:33">
      <c r="A2079" t="s">
        <v>2921</v>
      </c>
      <c r="B2079" t="str">
        <f t="shared" ref="B2079:K2088" si="303">"OFF"</f>
        <v>OFF</v>
      </c>
      <c r="C2079" t="str">
        <f t="shared" si="303"/>
        <v>OFF</v>
      </c>
      <c r="D2079" t="str">
        <f t="shared" si="303"/>
        <v>OFF</v>
      </c>
      <c r="E2079" t="str">
        <f t="shared" si="303"/>
        <v>OFF</v>
      </c>
      <c r="F2079" t="str">
        <f t="shared" si="303"/>
        <v>OFF</v>
      </c>
      <c r="G2079" t="str">
        <f t="shared" si="303"/>
        <v>OFF</v>
      </c>
      <c r="H2079" t="str">
        <f t="shared" si="303"/>
        <v>OFF</v>
      </c>
      <c r="I2079" t="str">
        <f t="shared" si="303"/>
        <v>OFF</v>
      </c>
      <c r="J2079" t="str">
        <f t="shared" si="303"/>
        <v>OFF</v>
      </c>
      <c r="K2079" t="str">
        <f t="shared" si="303"/>
        <v>OFF</v>
      </c>
      <c r="L2079" t="str">
        <f t="shared" ref="L2079:U2088" si="304">"OFF"</f>
        <v>OFF</v>
      </c>
      <c r="M2079" t="str">
        <f t="shared" si="304"/>
        <v>OFF</v>
      </c>
      <c r="N2079" t="str">
        <f t="shared" si="304"/>
        <v>OFF</v>
      </c>
      <c r="O2079" t="str">
        <f t="shared" si="304"/>
        <v>OFF</v>
      </c>
      <c r="P2079" t="str">
        <f t="shared" si="304"/>
        <v>OFF</v>
      </c>
      <c r="Q2079" t="str">
        <f t="shared" si="304"/>
        <v>OFF</v>
      </c>
      <c r="R2079" t="str">
        <f t="shared" si="304"/>
        <v>OFF</v>
      </c>
      <c r="S2079" t="str">
        <f t="shared" si="304"/>
        <v>OFF</v>
      </c>
      <c r="T2079" t="str">
        <f t="shared" si="304"/>
        <v>OFF</v>
      </c>
      <c r="U2079" t="str">
        <f t="shared" si="304"/>
        <v>OFF</v>
      </c>
      <c r="V2079" t="str">
        <f t="shared" ref="V2079:AG2088" si="305">"OFF"</f>
        <v>OFF</v>
      </c>
      <c r="W2079" t="str">
        <f t="shared" si="305"/>
        <v>OFF</v>
      </c>
      <c r="X2079" t="str">
        <f t="shared" si="305"/>
        <v>OFF</v>
      </c>
      <c r="Y2079" t="str">
        <f t="shared" si="305"/>
        <v>OFF</v>
      </c>
      <c r="Z2079" t="str">
        <f t="shared" si="305"/>
        <v>OFF</v>
      </c>
      <c r="AA2079" t="str">
        <f t="shared" si="305"/>
        <v>OFF</v>
      </c>
      <c r="AB2079" t="str">
        <f t="shared" si="305"/>
        <v>OFF</v>
      </c>
      <c r="AC2079" t="str">
        <f t="shared" si="305"/>
        <v>OFF</v>
      </c>
      <c r="AD2079" t="str">
        <f t="shared" si="305"/>
        <v>OFF</v>
      </c>
      <c r="AE2079" t="str">
        <f t="shared" si="305"/>
        <v>OFF</v>
      </c>
      <c r="AF2079" t="str">
        <f t="shared" si="305"/>
        <v>OFF</v>
      </c>
      <c r="AG2079" t="str">
        <f t="shared" si="305"/>
        <v>OFF</v>
      </c>
    </row>
    <row r="2080" spans="1:33">
      <c r="A2080" t="s">
        <v>2922</v>
      </c>
      <c r="B2080" t="str">
        <f t="shared" si="303"/>
        <v>OFF</v>
      </c>
      <c r="C2080" t="str">
        <f t="shared" si="303"/>
        <v>OFF</v>
      </c>
      <c r="D2080" t="str">
        <f t="shared" si="303"/>
        <v>OFF</v>
      </c>
      <c r="E2080" t="str">
        <f t="shared" si="303"/>
        <v>OFF</v>
      </c>
      <c r="F2080" t="str">
        <f t="shared" si="303"/>
        <v>OFF</v>
      </c>
      <c r="G2080" t="str">
        <f t="shared" si="303"/>
        <v>OFF</v>
      </c>
      <c r="H2080" t="str">
        <f t="shared" si="303"/>
        <v>OFF</v>
      </c>
      <c r="I2080" t="str">
        <f t="shared" si="303"/>
        <v>OFF</v>
      </c>
      <c r="J2080" t="str">
        <f t="shared" si="303"/>
        <v>OFF</v>
      </c>
      <c r="K2080" t="str">
        <f t="shared" si="303"/>
        <v>OFF</v>
      </c>
      <c r="L2080" t="str">
        <f t="shared" si="304"/>
        <v>OFF</v>
      </c>
      <c r="M2080" t="str">
        <f t="shared" si="304"/>
        <v>OFF</v>
      </c>
      <c r="N2080" t="str">
        <f t="shared" si="304"/>
        <v>OFF</v>
      </c>
      <c r="O2080" t="str">
        <f t="shared" si="304"/>
        <v>OFF</v>
      </c>
      <c r="P2080" t="str">
        <f t="shared" si="304"/>
        <v>OFF</v>
      </c>
      <c r="Q2080" t="str">
        <f t="shared" si="304"/>
        <v>OFF</v>
      </c>
      <c r="R2080" t="str">
        <f t="shared" si="304"/>
        <v>OFF</v>
      </c>
      <c r="S2080" t="str">
        <f t="shared" si="304"/>
        <v>OFF</v>
      </c>
      <c r="T2080" t="str">
        <f t="shared" si="304"/>
        <v>OFF</v>
      </c>
      <c r="U2080" t="str">
        <f t="shared" si="304"/>
        <v>OFF</v>
      </c>
      <c r="V2080" t="str">
        <f t="shared" si="305"/>
        <v>OFF</v>
      </c>
      <c r="W2080" t="str">
        <f t="shared" si="305"/>
        <v>OFF</v>
      </c>
      <c r="X2080" t="str">
        <f t="shared" si="305"/>
        <v>OFF</v>
      </c>
      <c r="Y2080" t="str">
        <f t="shared" si="305"/>
        <v>OFF</v>
      </c>
      <c r="Z2080" t="str">
        <f t="shared" si="305"/>
        <v>OFF</v>
      </c>
      <c r="AA2080" t="str">
        <f t="shared" si="305"/>
        <v>OFF</v>
      </c>
      <c r="AB2080" t="str">
        <f t="shared" si="305"/>
        <v>OFF</v>
      </c>
      <c r="AC2080" t="str">
        <f t="shared" si="305"/>
        <v>OFF</v>
      </c>
      <c r="AD2080" t="str">
        <f t="shared" si="305"/>
        <v>OFF</v>
      </c>
      <c r="AE2080" t="str">
        <f t="shared" si="305"/>
        <v>OFF</v>
      </c>
      <c r="AF2080" t="str">
        <f t="shared" si="305"/>
        <v>OFF</v>
      </c>
      <c r="AG2080" t="str">
        <f t="shared" si="305"/>
        <v>OFF</v>
      </c>
    </row>
    <row r="2081" spans="1:33">
      <c r="A2081" t="s">
        <v>2923</v>
      </c>
      <c r="B2081" t="str">
        <f t="shared" si="303"/>
        <v>OFF</v>
      </c>
      <c r="C2081" t="str">
        <f t="shared" si="303"/>
        <v>OFF</v>
      </c>
      <c r="D2081" t="str">
        <f t="shared" si="303"/>
        <v>OFF</v>
      </c>
      <c r="E2081" t="str">
        <f t="shared" si="303"/>
        <v>OFF</v>
      </c>
      <c r="F2081" t="str">
        <f t="shared" si="303"/>
        <v>OFF</v>
      </c>
      <c r="G2081" t="str">
        <f t="shared" si="303"/>
        <v>OFF</v>
      </c>
      <c r="H2081" t="str">
        <f t="shared" si="303"/>
        <v>OFF</v>
      </c>
      <c r="I2081" t="str">
        <f t="shared" si="303"/>
        <v>OFF</v>
      </c>
      <c r="J2081" t="str">
        <f t="shared" si="303"/>
        <v>OFF</v>
      </c>
      <c r="K2081" t="str">
        <f t="shared" si="303"/>
        <v>OFF</v>
      </c>
      <c r="L2081" t="str">
        <f t="shared" si="304"/>
        <v>OFF</v>
      </c>
      <c r="M2081" t="str">
        <f t="shared" si="304"/>
        <v>OFF</v>
      </c>
      <c r="N2081" t="str">
        <f t="shared" si="304"/>
        <v>OFF</v>
      </c>
      <c r="O2081" t="str">
        <f t="shared" si="304"/>
        <v>OFF</v>
      </c>
      <c r="P2081" t="str">
        <f t="shared" si="304"/>
        <v>OFF</v>
      </c>
      <c r="Q2081" t="str">
        <f t="shared" si="304"/>
        <v>OFF</v>
      </c>
      <c r="R2081" t="str">
        <f t="shared" si="304"/>
        <v>OFF</v>
      </c>
      <c r="S2081" t="str">
        <f t="shared" si="304"/>
        <v>OFF</v>
      </c>
      <c r="T2081" t="str">
        <f t="shared" si="304"/>
        <v>OFF</v>
      </c>
      <c r="U2081" t="str">
        <f t="shared" si="304"/>
        <v>OFF</v>
      </c>
      <c r="V2081" t="str">
        <f t="shared" si="305"/>
        <v>OFF</v>
      </c>
      <c r="W2081" t="str">
        <f t="shared" si="305"/>
        <v>OFF</v>
      </c>
      <c r="X2081" t="str">
        <f t="shared" si="305"/>
        <v>OFF</v>
      </c>
      <c r="Y2081" t="str">
        <f t="shared" si="305"/>
        <v>OFF</v>
      </c>
      <c r="Z2081" t="str">
        <f t="shared" si="305"/>
        <v>OFF</v>
      </c>
      <c r="AA2081" t="str">
        <f t="shared" si="305"/>
        <v>OFF</v>
      </c>
      <c r="AB2081" t="str">
        <f t="shared" si="305"/>
        <v>OFF</v>
      </c>
      <c r="AC2081" t="str">
        <f t="shared" si="305"/>
        <v>OFF</v>
      </c>
      <c r="AD2081" t="str">
        <f t="shared" si="305"/>
        <v>OFF</v>
      </c>
      <c r="AE2081" t="str">
        <f t="shared" si="305"/>
        <v>OFF</v>
      </c>
      <c r="AF2081" t="str">
        <f t="shared" si="305"/>
        <v>OFF</v>
      </c>
      <c r="AG2081" t="str">
        <f t="shared" si="305"/>
        <v>OFF</v>
      </c>
    </row>
    <row r="2082" spans="1:33">
      <c r="A2082" t="s">
        <v>2924</v>
      </c>
      <c r="B2082" t="str">
        <f t="shared" si="303"/>
        <v>OFF</v>
      </c>
      <c r="C2082" t="str">
        <f t="shared" si="303"/>
        <v>OFF</v>
      </c>
      <c r="D2082" t="str">
        <f t="shared" si="303"/>
        <v>OFF</v>
      </c>
      <c r="E2082" t="str">
        <f t="shared" si="303"/>
        <v>OFF</v>
      </c>
      <c r="F2082" t="str">
        <f t="shared" si="303"/>
        <v>OFF</v>
      </c>
      <c r="G2082" t="str">
        <f t="shared" si="303"/>
        <v>OFF</v>
      </c>
      <c r="H2082" t="str">
        <f t="shared" si="303"/>
        <v>OFF</v>
      </c>
      <c r="I2082" t="str">
        <f t="shared" si="303"/>
        <v>OFF</v>
      </c>
      <c r="J2082" t="str">
        <f t="shared" si="303"/>
        <v>OFF</v>
      </c>
      <c r="K2082" t="str">
        <f t="shared" si="303"/>
        <v>OFF</v>
      </c>
      <c r="L2082" t="str">
        <f t="shared" si="304"/>
        <v>OFF</v>
      </c>
      <c r="M2082" t="str">
        <f t="shared" si="304"/>
        <v>OFF</v>
      </c>
      <c r="N2082" t="str">
        <f t="shared" si="304"/>
        <v>OFF</v>
      </c>
      <c r="O2082" t="str">
        <f t="shared" si="304"/>
        <v>OFF</v>
      </c>
      <c r="P2082" t="str">
        <f t="shared" si="304"/>
        <v>OFF</v>
      </c>
      <c r="Q2082" t="str">
        <f t="shared" si="304"/>
        <v>OFF</v>
      </c>
      <c r="R2082" t="str">
        <f t="shared" si="304"/>
        <v>OFF</v>
      </c>
      <c r="S2082" t="str">
        <f t="shared" si="304"/>
        <v>OFF</v>
      </c>
      <c r="T2082" t="str">
        <f t="shared" si="304"/>
        <v>OFF</v>
      </c>
      <c r="U2082" t="str">
        <f t="shared" si="304"/>
        <v>OFF</v>
      </c>
      <c r="V2082" t="str">
        <f t="shared" si="305"/>
        <v>OFF</v>
      </c>
      <c r="W2082" t="str">
        <f t="shared" si="305"/>
        <v>OFF</v>
      </c>
      <c r="X2082" t="str">
        <f t="shared" si="305"/>
        <v>OFF</v>
      </c>
      <c r="Y2082" t="str">
        <f t="shared" si="305"/>
        <v>OFF</v>
      </c>
      <c r="Z2082" t="str">
        <f t="shared" si="305"/>
        <v>OFF</v>
      </c>
      <c r="AA2082" t="str">
        <f t="shared" si="305"/>
        <v>OFF</v>
      </c>
      <c r="AB2082" t="str">
        <f t="shared" si="305"/>
        <v>OFF</v>
      </c>
      <c r="AC2082" t="str">
        <f t="shared" si="305"/>
        <v>OFF</v>
      </c>
      <c r="AD2082" t="str">
        <f t="shared" si="305"/>
        <v>OFF</v>
      </c>
      <c r="AE2082" t="str">
        <f t="shared" si="305"/>
        <v>OFF</v>
      </c>
      <c r="AF2082" t="str">
        <f t="shared" si="305"/>
        <v>OFF</v>
      </c>
      <c r="AG2082" t="str">
        <f t="shared" si="305"/>
        <v>OFF</v>
      </c>
    </row>
    <row r="2083" spans="1:33">
      <c r="A2083" t="s">
        <v>2925</v>
      </c>
      <c r="B2083" t="str">
        <f t="shared" si="303"/>
        <v>OFF</v>
      </c>
      <c r="C2083" t="str">
        <f t="shared" si="303"/>
        <v>OFF</v>
      </c>
      <c r="D2083" t="str">
        <f t="shared" si="303"/>
        <v>OFF</v>
      </c>
      <c r="E2083" t="str">
        <f t="shared" si="303"/>
        <v>OFF</v>
      </c>
      <c r="F2083" t="str">
        <f t="shared" si="303"/>
        <v>OFF</v>
      </c>
      <c r="G2083" t="str">
        <f t="shared" si="303"/>
        <v>OFF</v>
      </c>
      <c r="H2083" t="str">
        <f t="shared" si="303"/>
        <v>OFF</v>
      </c>
      <c r="I2083" t="str">
        <f t="shared" si="303"/>
        <v>OFF</v>
      </c>
      <c r="J2083" t="str">
        <f t="shared" si="303"/>
        <v>OFF</v>
      </c>
      <c r="K2083" t="str">
        <f t="shared" si="303"/>
        <v>OFF</v>
      </c>
      <c r="L2083" t="str">
        <f t="shared" si="304"/>
        <v>OFF</v>
      </c>
      <c r="M2083" t="str">
        <f t="shared" si="304"/>
        <v>OFF</v>
      </c>
      <c r="N2083" t="str">
        <f t="shared" si="304"/>
        <v>OFF</v>
      </c>
      <c r="O2083" t="str">
        <f t="shared" si="304"/>
        <v>OFF</v>
      </c>
      <c r="P2083" t="str">
        <f t="shared" si="304"/>
        <v>OFF</v>
      </c>
      <c r="Q2083" t="str">
        <f t="shared" si="304"/>
        <v>OFF</v>
      </c>
      <c r="R2083" t="str">
        <f t="shared" si="304"/>
        <v>OFF</v>
      </c>
      <c r="S2083" t="str">
        <f t="shared" si="304"/>
        <v>OFF</v>
      </c>
      <c r="T2083" t="str">
        <f t="shared" si="304"/>
        <v>OFF</v>
      </c>
      <c r="U2083" t="str">
        <f t="shared" si="304"/>
        <v>OFF</v>
      </c>
      <c r="V2083" t="str">
        <f t="shared" si="305"/>
        <v>OFF</v>
      </c>
      <c r="W2083" t="str">
        <f t="shared" si="305"/>
        <v>OFF</v>
      </c>
      <c r="X2083" t="str">
        <f t="shared" si="305"/>
        <v>OFF</v>
      </c>
      <c r="Y2083" t="str">
        <f t="shared" si="305"/>
        <v>OFF</v>
      </c>
      <c r="Z2083" t="str">
        <f t="shared" si="305"/>
        <v>OFF</v>
      </c>
      <c r="AA2083" t="str">
        <f t="shared" si="305"/>
        <v>OFF</v>
      </c>
      <c r="AB2083" t="str">
        <f t="shared" si="305"/>
        <v>OFF</v>
      </c>
      <c r="AC2083" t="str">
        <f t="shared" si="305"/>
        <v>OFF</v>
      </c>
      <c r="AD2083" t="str">
        <f t="shared" si="305"/>
        <v>OFF</v>
      </c>
      <c r="AE2083" t="str">
        <f t="shared" si="305"/>
        <v>OFF</v>
      </c>
      <c r="AF2083" t="str">
        <f t="shared" si="305"/>
        <v>OFF</v>
      </c>
      <c r="AG2083" t="str">
        <f t="shared" si="305"/>
        <v>OFF</v>
      </c>
    </row>
    <row r="2084" spans="1:33">
      <c r="A2084" t="s">
        <v>2926</v>
      </c>
      <c r="B2084" t="str">
        <f t="shared" si="303"/>
        <v>OFF</v>
      </c>
      <c r="C2084" t="str">
        <f t="shared" si="303"/>
        <v>OFF</v>
      </c>
      <c r="D2084" t="str">
        <f t="shared" si="303"/>
        <v>OFF</v>
      </c>
      <c r="E2084" t="str">
        <f t="shared" si="303"/>
        <v>OFF</v>
      </c>
      <c r="F2084" t="str">
        <f t="shared" si="303"/>
        <v>OFF</v>
      </c>
      <c r="G2084" t="str">
        <f t="shared" si="303"/>
        <v>OFF</v>
      </c>
      <c r="H2084" t="str">
        <f t="shared" si="303"/>
        <v>OFF</v>
      </c>
      <c r="I2084" t="str">
        <f t="shared" si="303"/>
        <v>OFF</v>
      </c>
      <c r="J2084" t="str">
        <f t="shared" si="303"/>
        <v>OFF</v>
      </c>
      <c r="K2084" t="str">
        <f t="shared" si="303"/>
        <v>OFF</v>
      </c>
      <c r="L2084" t="str">
        <f t="shared" si="304"/>
        <v>OFF</v>
      </c>
      <c r="M2084" t="str">
        <f t="shared" si="304"/>
        <v>OFF</v>
      </c>
      <c r="N2084" t="str">
        <f t="shared" si="304"/>
        <v>OFF</v>
      </c>
      <c r="O2084" t="str">
        <f t="shared" si="304"/>
        <v>OFF</v>
      </c>
      <c r="P2084" t="str">
        <f t="shared" si="304"/>
        <v>OFF</v>
      </c>
      <c r="Q2084" t="str">
        <f t="shared" si="304"/>
        <v>OFF</v>
      </c>
      <c r="R2084" t="str">
        <f t="shared" si="304"/>
        <v>OFF</v>
      </c>
      <c r="S2084" t="str">
        <f t="shared" si="304"/>
        <v>OFF</v>
      </c>
      <c r="T2084" t="str">
        <f t="shared" si="304"/>
        <v>OFF</v>
      </c>
      <c r="U2084" t="str">
        <f t="shared" si="304"/>
        <v>OFF</v>
      </c>
      <c r="V2084" t="str">
        <f t="shared" si="305"/>
        <v>OFF</v>
      </c>
      <c r="W2084" t="str">
        <f t="shared" si="305"/>
        <v>OFF</v>
      </c>
      <c r="X2084" t="str">
        <f t="shared" si="305"/>
        <v>OFF</v>
      </c>
      <c r="Y2084" t="str">
        <f t="shared" si="305"/>
        <v>OFF</v>
      </c>
      <c r="Z2084" t="str">
        <f t="shared" si="305"/>
        <v>OFF</v>
      </c>
      <c r="AA2084" t="str">
        <f t="shared" si="305"/>
        <v>OFF</v>
      </c>
      <c r="AB2084" t="str">
        <f t="shared" si="305"/>
        <v>OFF</v>
      </c>
      <c r="AC2084" t="str">
        <f t="shared" si="305"/>
        <v>OFF</v>
      </c>
      <c r="AD2084" t="str">
        <f t="shared" si="305"/>
        <v>OFF</v>
      </c>
      <c r="AE2084" t="str">
        <f t="shared" si="305"/>
        <v>OFF</v>
      </c>
      <c r="AF2084" t="str">
        <f t="shared" si="305"/>
        <v>OFF</v>
      </c>
      <c r="AG2084" t="str">
        <f t="shared" si="305"/>
        <v>OFF</v>
      </c>
    </row>
    <row r="2085" spans="1:33">
      <c r="A2085" t="s">
        <v>2927</v>
      </c>
      <c r="B2085" t="str">
        <f t="shared" si="303"/>
        <v>OFF</v>
      </c>
      <c r="C2085" t="str">
        <f t="shared" si="303"/>
        <v>OFF</v>
      </c>
      <c r="D2085" t="str">
        <f t="shared" si="303"/>
        <v>OFF</v>
      </c>
      <c r="E2085" t="str">
        <f t="shared" si="303"/>
        <v>OFF</v>
      </c>
      <c r="F2085" t="str">
        <f t="shared" si="303"/>
        <v>OFF</v>
      </c>
      <c r="G2085" t="str">
        <f t="shared" si="303"/>
        <v>OFF</v>
      </c>
      <c r="H2085" t="str">
        <f t="shared" si="303"/>
        <v>OFF</v>
      </c>
      <c r="I2085" t="str">
        <f t="shared" si="303"/>
        <v>OFF</v>
      </c>
      <c r="J2085" t="str">
        <f t="shared" si="303"/>
        <v>OFF</v>
      </c>
      <c r="K2085" t="str">
        <f t="shared" si="303"/>
        <v>OFF</v>
      </c>
      <c r="L2085" t="str">
        <f t="shared" si="304"/>
        <v>OFF</v>
      </c>
      <c r="M2085" t="str">
        <f t="shared" si="304"/>
        <v>OFF</v>
      </c>
      <c r="N2085" t="str">
        <f t="shared" si="304"/>
        <v>OFF</v>
      </c>
      <c r="O2085" t="str">
        <f t="shared" si="304"/>
        <v>OFF</v>
      </c>
      <c r="P2085" t="str">
        <f t="shared" si="304"/>
        <v>OFF</v>
      </c>
      <c r="Q2085" t="str">
        <f t="shared" si="304"/>
        <v>OFF</v>
      </c>
      <c r="R2085" t="str">
        <f t="shared" si="304"/>
        <v>OFF</v>
      </c>
      <c r="S2085" t="str">
        <f t="shared" si="304"/>
        <v>OFF</v>
      </c>
      <c r="T2085" t="str">
        <f t="shared" si="304"/>
        <v>OFF</v>
      </c>
      <c r="U2085" t="str">
        <f t="shared" si="304"/>
        <v>OFF</v>
      </c>
      <c r="V2085" t="str">
        <f t="shared" si="305"/>
        <v>OFF</v>
      </c>
      <c r="W2085" t="str">
        <f t="shared" si="305"/>
        <v>OFF</v>
      </c>
      <c r="X2085" t="str">
        <f t="shared" si="305"/>
        <v>OFF</v>
      </c>
      <c r="Y2085" t="str">
        <f t="shared" si="305"/>
        <v>OFF</v>
      </c>
      <c r="Z2085" t="str">
        <f t="shared" si="305"/>
        <v>OFF</v>
      </c>
      <c r="AA2085" t="str">
        <f t="shared" si="305"/>
        <v>OFF</v>
      </c>
      <c r="AB2085" t="str">
        <f t="shared" si="305"/>
        <v>OFF</v>
      </c>
      <c r="AC2085" t="str">
        <f t="shared" si="305"/>
        <v>OFF</v>
      </c>
      <c r="AD2085" t="str">
        <f t="shared" si="305"/>
        <v>OFF</v>
      </c>
      <c r="AE2085" t="str">
        <f t="shared" si="305"/>
        <v>OFF</v>
      </c>
      <c r="AF2085" t="str">
        <f t="shared" si="305"/>
        <v>OFF</v>
      </c>
      <c r="AG2085" t="str">
        <f t="shared" si="305"/>
        <v>OFF</v>
      </c>
    </row>
    <row r="2086" spans="1:33">
      <c r="A2086" t="s">
        <v>2928</v>
      </c>
      <c r="B2086" t="str">
        <f t="shared" si="303"/>
        <v>OFF</v>
      </c>
      <c r="C2086" t="str">
        <f t="shared" si="303"/>
        <v>OFF</v>
      </c>
      <c r="D2086" t="str">
        <f t="shared" si="303"/>
        <v>OFF</v>
      </c>
      <c r="E2086" t="str">
        <f t="shared" si="303"/>
        <v>OFF</v>
      </c>
      <c r="F2086" t="str">
        <f t="shared" si="303"/>
        <v>OFF</v>
      </c>
      <c r="G2086" t="str">
        <f t="shared" si="303"/>
        <v>OFF</v>
      </c>
      <c r="H2086" t="str">
        <f t="shared" si="303"/>
        <v>OFF</v>
      </c>
      <c r="I2086" t="str">
        <f t="shared" si="303"/>
        <v>OFF</v>
      </c>
      <c r="J2086" t="str">
        <f t="shared" si="303"/>
        <v>OFF</v>
      </c>
      <c r="K2086" t="str">
        <f t="shared" si="303"/>
        <v>OFF</v>
      </c>
      <c r="L2086" t="str">
        <f t="shared" si="304"/>
        <v>OFF</v>
      </c>
      <c r="M2086" t="str">
        <f t="shared" si="304"/>
        <v>OFF</v>
      </c>
      <c r="N2086" t="str">
        <f t="shared" si="304"/>
        <v>OFF</v>
      </c>
      <c r="O2086" t="str">
        <f t="shared" si="304"/>
        <v>OFF</v>
      </c>
      <c r="P2086" t="str">
        <f t="shared" si="304"/>
        <v>OFF</v>
      </c>
      <c r="Q2086" t="str">
        <f t="shared" si="304"/>
        <v>OFF</v>
      </c>
      <c r="R2086" t="str">
        <f t="shared" si="304"/>
        <v>OFF</v>
      </c>
      <c r="S2086" t="str">
        <f t="shared" si="304"/>
        <v>OFF</v>
      </c>
      <c r="T2086" t="str">
        <f t="shared" si="304"/>
        <v>OFF</v>
      </c>
      <c r="U2086" t="str">
        <f t="shared" si="304"/>
        <v>OFF</v>
      </c>
      <c r="V2086" t="str">
        <f t="shared" si="305"/>
        <v>OFF</v>
      </c>
      <c r="W2086" t="str">
        <f t="shared" si="305"/>
        <v>OFF</v>
      </c>
      <c r="X2086" t="str">
        <f t="shared" si="305"/>
        <v>OFF</v>
      </c>
      <c r="Y2086" t="str">
        <f t="shared" si="305"/>
        <v>OFF</v>
      </c>
      <c r="Z2086" t="str">
        <f t="shared" si="305"/>
        <v>OFF</v>
      </c>
      <c r="AA2086" t="str">
        <f t="shared" si="305"/>
        <v>OFF</v>
      </c>
      <c r="AB2086" t="str">
        <f t="shared" si="305"/>
        <v>OFF</v>
      </c>
      <c r="AC2086" t="str">
        <f t="shared" si="305"/>
        <v>OFF</v>
      </c>
      <c r="AD2086" t="str">
        <f t="shared" si="305"/>
        <v>OFF</v>
      </c>
      <c r="AE2086" t="str">
        <f t="shared" si="305"/>
        <v>OFF</v>
      </c>
      <c r="AF2086" t="str">
        <f t="shared" si="305"/>
        <v>OFF</v>
      </c>
      <c r="AG2086" t="str">
        <f t="shared" si="305"/>
        <v>OFF</v>
      </c>
    </row>
    <row r="2087" spans="1:33">
      <c r="A2087" t="s">
        <v>2929</v>
      </c>
      <c r="B2087" t="str">
        <f t="shared" si="303"/>
        <v>OFF</v>
      </c>
      <c r="C2087" t="str">
        <f t="shared" si="303"/>
        <v>OFF</v>
      </c>
      <c r="D2087" t="str">
        <f t="shared" si="303"/>
        <v>OFF</v>
      </c>
      <c r="E2087" t="str">
        <f t="shared" si="303"/>
        <v>OFF</v>
      </c>
      <c r="F2087" t="str">
        <f t="shared" si="303"/>
        <v>OFF</v>
      </c>
      <c r="G2087" t="str">
        <f t="shared" si="303"/>
        <v>OFF</v>
      </c>
      <c r="H2087" t="str">
        <f t="shared" si="303"/>
        <v>OFF</v>
      </c>
      <c r="I2087" t="str">
        <f t="shared" si="303"/>
        <v>OFF</v>
      </c>
      <c r="J2087" t="str">
        <f t="shared" si="303"/>
        <v>OFF</v>
      </c>
      <c r="K2087" t="str">
        <f t="shared" si="303"/>
        <v>OFF</v>
      </c>
      <c r="L2087" t="str">
        <f t="shared" si="304"/>
        <v>OFF</v>
      </c>
      <c r="M2087" t="str">
        <f t="shared" si="304"/>
        <v>OFF</v>
      </c>
      <c r="N2087" t="str">
        <f t="shared" si="304"/>
        <v>OFF</v>
      </c>
      <c r="O2087" t="str">
        <f t="shared" si="304"/>
        <v>OFF</v>
      </c>
      <c r="P2087" t="str">
        <f t="shared" si="304"/>
        <v>OFF</v>
      </c>
      <c r="Q2087" t="str">
        <f t="shared" si="304"/>
        <v>OFF</v>
      </c>
      <c r="R2087" t="str">
        <f t="shared" si="304"/>
        <v>OFF</v>
      </c>
      <c r="S2087" t="str">
        <f t="shared" si="304"/>
        <v>OFF</v>
      </c>
      <c r="T2087" t="str">
        <f t="shared" si="304"/>
        <v>OFF</v>
      </c>
      <c r="U2087" t="str">
        <f t="shared" si="304"/>
        <v>OFF</v>
      </c>
      <c r="V2087" t="str">
        <f t="shared" si="305"/>
        <v>OFF</v>
      </c>
      <c r="W2087" t="str">
        <f t="shared" si="305"/>
        <v>OFF</v>
      </c>
      <c r="X2087" t="str">
        <f t="shared" si="305"/>
        <v>OFF</v>
      </c>
      <c r="Y2087" t="str">
        <f t="shared" si="305"/>
        <v>OFF</v>
      </c>
      <c r="Z2087" t="str">
        <f t="shared" si="305"/>
        <v>OFF</v>
      </c>
      <c r="AA2087" t="str">
        <f t="shared" si="305"/>
        <v>OFF</v>
      </c>
      <c r="AB2087" t="str">
        <f t="shared" si="305"/>
        <v>OFF</v>
      </c>
      <c r="AC2087" t="str">
        <f t="shared" si="305"/>
        <v>OFF</v>
      </c>
      <c r="AD2087" t="str">
        <f t="shared" si="305"/>
        <v>OFF</v>
      </c>
      <c r="AE2087" t="str">
        <f t="shared" si="305"/>
        <v>OFF</v>
      </c>
      <c r="AF2087" t="str">
        <f t="shared" si="305"/>
        <v>OFF</v>
      </c>
      <c r="AG2087" t="str">
        <f t="shared" si="305"/>
        <v>OFF</v>
      </c>
    </row>
    <row r="2088" spans="1:33">
      <c r="A2088" t="s">
        <v>2930</v>
      </c>
      <c r="B2088" t="str">
        <f t="shared" si="303"/>
        <v>OFF</v>
      </c>
      <c r="C2088" t="str">
        <f t="shared" si="303"/>
        <v>OFF</v>
      </c>
      <c r="D2088" t="str">
        <f t="shared" si="303"/>
        <v>OFF</v>
      </c>
      <c r="E2088" t="str">
        <f t="shared" si="303"/>
        <v>OFF</v>
      </c>
      <c r="F2088" t="str">
        <f t="shared" si="303"/>
        <v>OFF</v>
      </c>
      <c r="G2088" t="str">
        <f t="shared" si="303"/>
        <v>OFF</v>
      </c>
      <c r="H2088" t="str">
        <f t="shared" si="303"/>
        <v>OFF</v>
      </c>
      <c r="I2088" t="str">
        <f t="shared" si="303"/>
        <v>OFF</v>
      </c>
      <c r="J2088" t="str">
        <f t="shared" si="303"/>
        <v>OFF</v>
      </c>
      <c r="K2088" t="str">
        <f t="shared" si="303"/>
        <v>OFF</v>
      </c>
      <c r="L2088" t="str">
        <f t="shared" si="304"/>
        <v>OFF</v>
      </c>
      <c r="M2088" t="str">
        <f t="shared" si="304"/>
        <v>OFF</v>
      </c>
      <c r="N2088" t="str">
        <f t="shared" si="304"/>
        <v>OFF</v>
      </c>
      <c r="O2088" t="str">
        <f t="shared" si="304"/>
        <v>OFF</v>
      </c>
      <c r="P2088" t="str">
        <f t="shared" si="304"/>
        <v>OFF</v>
      </c>
      <c r="Q2088" t="str">
        <f t="shared" si="304"/>
        <v>OFF</v>
      </c>
      <c r="R2088" t="str">
        <f t="shared" si="304"/>
        <v>OFF</v>
      </c>
      <c r="S2088" t="str">
        <f t="shared" si="304"/>
        <v>OFF</v>
      </c>
      <c r="T2088" t="str">
        <f t="shared" si="304"/>
        <v>OFF</v>
      </c>
      <c r="U2088" t="str">
        <f t="shared" si="304"/>
        <v>OFF</v>
      </c>
      <c r="V2088" t="str">
        <f t="shared" si="305"/>
        <v>OFF</v>
      </c>
      <c r="W2088" t="str">
        <f t="shared" si="305"/>
        <v>OFF</v>
      </c>
      <c r="X2088" t="str">
        <f t="shared" si="305"/>
        <v>OFF</v>
      </c>
      <c r="Y2088" t="str">
        <f t="shared" si="305"/>
        <v>OFF</v>
      </c>
      <c r="Z2088" t="str">
        <f t="shared" si="305"/>
        <v>OFF</v>
      </c>
      <c r="AA2088" t="str">
        <f t="shared" si="305"/>
        <v>OFF</v>
      </c>
      <c r="AB2088" t="str">
        <f t="shared" si="305"/>
        <v>OFF</v>
      </c>
      <c r="AC2088" t="str">
        <f t="shared" si="305"/>
        <v>OFF</v>
      </c>
      <c r="AD2088" t="str">
        <f t="shared" si="305"/>
        <v>OFF</v>
      </c>
      <c r="AE2088" t="str">
        <f t="shared" si="305"/>
        <v>OFF</v>
      </c>
      <c r="AF2088" t="str">
        <f t="shared" si="305"/>
        <v>OFF</v>
      </c>
      <c r="AG2088" t="str">
        <f t="shared" si="305"/>
        <v>OFF</v>
      </c>
    </row>
    <row r="2089" spans="1:33">
      <c r="A2089" t="s">
        <v>2931</v>
      </c>
      <c r="B2089" t="str">
        <f t="shared" ref="B2089:K2098" si="306">"OFF"</f>
        <v>OFF</v>
      </c>
      <c r="C2089" t="str">
        <f t="shared" si="306"/>
        <v>OFF</v>
      </c>
      <c r="D2089" t="str">
        <f t="shared" si="306"/>
        <v>OFF</v>
      </c>
      <c r="E2089" t="str">
        <f t="shared" si="306"/>
        <v>OFF</v>
      </c>
      <c r="F2089" t="str">
        <f t="shared" si="306"/>
        <v>OFF</v>
      </c>
      <c r="G2089" t="str">
        <f t="shared" si="306"/>
        <v>OFF</v>
      </c>
      <c r="H2089" t="str">
        <f t="shared" si="306"/>
        <v>OFF</v>
      </c>
      <c r="I2089" t="str">
        <f t="shared" si="306"/>
        <v>OFF</v>
      </c>
      <c r="J2089" t="str">
        <f t="shared" si="306"/>
        <v>OFF</v>
      </c>
      <c r="K2089" t="str">
        <f t="shared" si="306"/>
        <v>OFF</v>
      </c>
      <c r="L2089" t="str">
        <f t="shared" ref="L2089:U2098" si="307">"OFF"</f>
        <v>OFF</v>
      </c>
      <c r="M2089" t="str">
        <f t="shared" si="307"/>
        <v>OFF</v>
      </c>
      <c r="N2089" t="str">
        <f t="shared" si="307"/>
        <v>OFF</v>
      </c>
      <c r="O2089" t="str">
        <f t="shared" si="307"/>
        <v>OFF</v>
      </c>
      <c r="P2089" t="str">
        <f t="shared" si="307"/>
        <v>OFF</v>
      </c>
      <c r="Q2089" t="str">
        <f t="shared" si="307"/>
        <v>OFF</v>
      </c>
      <c r="R2089" t="str">
        <f t="shared" si="307"/>
        <v>OFF</v>
      </c>
      <c r="S2089" t="str">
        <f t="shared" si="307"/>
        <v>OFF</v>
      </c>
      <c r="T2089" t="str">
        <f t="shared" si="307"/>
        <v>OFF</v>
      </c>
      <c r="U2089" t="str">
        <f t="shared" si="307"/>
        <v>OFF</v>
      </c>
      <c r="V2089" t="str">
        <f t="shared" ref="V2089:AG2098" si="308">"OFF"</f>
        <v>OFF</v>
      </c>
      <c r="W2089" t="str">
        <f t="shared" si="308"/>
        <v>OFF</v>
      </c>
      <c r="X2089" t="str">
        <f t="shared" si="308"/>
        <v>OFF</v>
      </c>
      <c r="Y2089" t="str">
        <f t="shared" si="308"/>
        <v>OFF</v>
      </c>
      <c r="Z2089" t="str">
        <f t="shared" si="308"/>
        <v>OFF</v>
      </c>
      <c r="AA2089" t="str">
        <f t="shared" si="308"/>
        <v>OFF</v>
      </c>
      <c r="AB2089" t="str">
        <f t="shared" si="308"/>
        <v>OFF</v>
      </c>
      <c r="AC2089" t="str">
        <f t="shared" si="308"/>
        <v>OFF</v>
      </c>
      <c r="AD2089" t="str">
        <f t="shared" si="308"/>
        <v>OFF</v>
      </c>
      <c r="AE2089" t="str">
        <f t="shared" si="308"/>
        <v>OFF</v>
      </c>
      <c r="AF2089" t="str">
        <f t="shared" si="308"/>
        <v>OFF</v>
      </c>
      <c r="AG2089" t="str">
        <f t="shared" si="308"/>
        <v>OFF</v>
      </c>
    </row>
    <row r="2090" spans="1:33">
      <c r="A2090" t="s">
        <v>2932</v>
      </c>
      <c r="B2090" t="str">
        <f t="shared" si="306"/>
        <v>OFF</v>
      </c>
      <c r="C2090" t="str">
        <f t="shared" si="306"/>
        <v>OFF</v>
      </c>
      <c r="D2090" t="str">
        <f t="shared" si="306"/>
        <v>OFF</v>
      </c>
      <c r="E2090" t="str">
        <f t="shared" si="306"/>
        <v>OFF</v>
      </c>
      <c r="F2090" t="str">
        <f t="shared" si="306"/>
        <v>OFF</v>
      </c>
      <c r="G2090" t="str">
        <f t="shared" si="306"/>
        <v>OFF</v>
      </c>
      <c r="H2090" t="str">
        <f t="shared" si="306"/>
        <v>OFF</v>
      </c>
      <c r="I2090" t="str">
        <f t="shared" si="306"/>
        <v>OFF</v>
      </c>
      <c r="J2090" t="str">
        <f t="shared" si="306"/>
        <v>OFF</v>
      </c>
      <c r="K2090" t="str">
        <f t="shared" si="306"/>
        <v>OFF</v>
      </c>
      <c r="L2090" t="str">
        <f t="shared" si="307"/>
        <v>OFF</v>
      </c>
      <c r="M2090" t="str">
        <f t="shared" si="307"/>
        <v>OFF</v>
      </c>
      <c r="N2090" t="str">
        <f t="shared" si="307"/>
        <v>OFF</v>
      </c>
      <c r="O2090" t="str">
        <f t="shared" si="307"/>
        <v>OFF</v>
      </c>
      <c r="P2090" t="str">
        <f t="shared" si="307"/>
        <v>OFF</v>
      </c>
      <c r="Q2090" t="str">
        <f t="shared" si="307"/>
        <v>OFF</v>
      </c>
      <c r="R2090" t="str">
        <f t="shared" si="307"/>
        <v>OFF</v>
      </c>
      <c r="S2090" t="str">
        <f t="shared" si="307"/>
        <v>OFF</v>
      </c>
      <c r="T2090" t="str">
        <f t="shared" si="307"/>
        <v>OFF</v>
      </c>
      <c r="U2090" t="str">
        <f t="shared" si="307"/>
        <v>OFF</v>
      </c>
      <c r="V2090" t="str">
        <f t="shared" si="308"/>
        <v>OFF</v>
      </c>
      <c r="W2090" t="str">
        <f t="shared" si="308"/>
        <v>OFF</v>
      </c>
      <c r="X2090" t="str">
        <f t="shared" si="308"/>
        <v>OFF</v>
      </c>
      <c r="Y2090" t="str">
        <f t="shared" si="308"/>
        <v>OFF</v>
      </c>
      <c r="Z2090" t="str">
        <f t="shared" si="308"/>
        <v>OFF</v>
      </c>
      <c r="AA2090" t="str">
        <f t="shared" si="308"/>
        <v>OFF</v>
      </c>
      <c r="AB2090" t="str">
        <f t="shared" si="308"/>
        <v>OFF</v>
      </c>
      <c r="AC2090" t="str">
        <f t="shared" si="308"/>
        <v>OFF</v>
      </c>
      <c r="AD2090" t="str">
        <f t="shared" si="308"/>
        <v>OFF</v>
      </c>
      <c r="AE2090" t="str">
        <f t="shared" si="308"/>
        <v>OFF</v>
      </c>
      <c r="AF2090" t="str">
        <f t="shared" si="308"/>
        <v>OFF</v>
      </c>
      <c r="AG2090" t="str">
        <f t="shared" si="308"/>
        <v>OFF</v>
      </c>
    </row>
    <row r="2091" spans="1:33">
      <c r="A2091" t="s">
        <v>2933</v>
      </c>
      <c r="B2091" t="str">
        <f t="shared" si="306"/>
        <v>OFF</v>
      </c>
      <c r="C2091" t="str">
        <f t="shared" si="306"/>
        <v>OFF</v>
      </c>
      <c r="D2091" t="str">
        <f t="shared" si="306"/>
        <v>OFF</v>
      </c>
      <c r="E2091" t="str">
        <f t="shared" si="306"/>
        <v>OFF</v>
      </c>
      <c r="F2091" t="str">
        <f t="shared" si="306"/>
        <v>OFF</v>
      </c>
      <c r="G2091" t="str">
        <f t="shared" si="306"/>
        <v>OFF</v>
      </c>
      <c r="H2091" t="str">
        <f t="shared" si="306"/>
        <v>OFF</v>
      </c>
      <c r="I2091" t="str">
        <f t="shared" si="306"/>
        <v>OFF</v>
      </c>
      <c r="J2091" t="str">
        <f t="shared" si="306"/>
        <v>OFF</v>
      </c>
      <c r="K2091" t="str">
        <f t="shared" si="306"/>
        <v>OFF</v>
      </c>
      <c r="L2091" t="str">
        <f t="shared" si="307"/>
        <v>OFF</v>
      </c>
      <c r="M2091" t="str">
        <f t="shared" si="307"/>
        <v>OFF</v>
      </c>
      <c r="N2091" t="str">
        <f t="shared" si="307"/>
        <v>OFF</v>
      </c>
      <c r="O2091" t="str">
        <f t="shared" si="307"/>
        <v>OFF</v>
      </c>
      <c r="P2091" t="str">
        <f t="shared" si="307"/>
        <v>OFF</v>
      </c>
      <c r="Q2091" t="str">
        <f t="shared" si="307"/>
        <v>OFF</v>
      </c>
      <c r="R2091" t="str">
        <f t="shared" si="307"/>
        <v>OFF</v>
      </c>
      <c r="S2091" t="str">
        <f t="shared" si="307"/>
        <v>OFF</v>
      </c>
      <c r="T2091" t="str">
        <f t="shared" si="307"/>
        <v>OFF</v>
      </c>
      <c r="U2091" t="str">
        <f t="shared" si="307"/>
        <v>OFF</v>
      </c>
      <c r="V2091" t="str">
        <f t="shared" si="308"/>
        <v>OFF</v>
      </c>
      <c r="W2091" t="str">
        <f t="shared" si="308"/>
        <v>OFF</v>
      </c>
      <c r="X2091" t="str">
        <f t="shared" si="308"/>
        <v>OFF</v>
      </c>
      <c r="Y2091" t="str">
        <f t="shared" si="308"/>
        <v>OFF</v>
      </c>
      <c r="Z2091" t="str">
        <f t="shared" si="308"/>
        <v>OFF</v>
      </c>
      <c r="AA2091" t="str">
        <f t="shared" si="308"/>
        <v>OFF</v>
      </c>
      <c r="AB2091" t="str">
        <f t="shared" si="308"/>
        <v>OFF</v>
      </c>
      <c r="AC2091" t="str">
        <f t="shared" si="308"/>
        <v>OFF</v>
      </c>
      <c r="AD2091" t="str">
        <f t="shared" si="308"/>
        <v>OFF</v>
      </c>
      <c r="AE2091" t="str">
        <f t="shared" si="308"/>
        <v>OFF</v>
      </c>
      <c r="AF2091" t="str">
        <f t="shared" si="308"/>
        <v>OFF</v>
      </c>
      <c r="AG2091" t="str">
        <f t="shared" si="308"/>
        <v>OFF</v>
      </c>
    </row>
    <row r="2092" spans="1:33">
      <c r="A2092" t="s">
        <v>2934</v>
      </c>
      <c r="B2092" t="str">
        <f t="shared" si="306"/>
        <v>OFF</v>
      </c>
      <c r="C2092" t="str">
        <f t="shared" si="306"/>
        <v>OFF</v>
      </c>
      <c r="D2092" t="str">
        <f t="shared" si="306"/>
        <v>OFF</v>
      </c>
      <c r="E2092" t="str">
        <f t="shared" si="306"/>
        <v>OFF</v>
      </c>
      <c r="F2092" t="str">
        <f t="shared" si="306"/>
        <v>OFF</v>
      </c>
      <c r="G2092" t="str">
        <f t="shared" si="306"/>
        <v>OFF</v>
      </c>
      <c r="H2092" t="str">
        <f t="shared" si="306"/>
        <v>OFF</v>
      </c>
      <c r="I2092" t="str">
        <f t="shared" si="306"/>
        <v>OFF</v>
      </c>
      <c r="J2092" t="str">
        <f t="shared" si="306"/>
        <v>OFF</v>
      </c>
      <c r="K2092" t="str">
        <f t="shared" si="306"/>
        <v>OFF</v>
      </c>
      <c r="L2092" t="str">
        <f t="shared" si="307"/>
        <v>OFF</v>
      </c>
      <c r="M2092" t="str">
        <f t="shared" si="307"/>
        <v>OFF</v>
      </c>
      <c r="N2092" t="str">
        <f t="shared" si="307"/>
        <v>OFF</v>
      </c>
      <c r="O2092" t="str">
        <f t="shared" si="307"/>
        <v>OFF</v>
      </c>
      <c r="P2092" t="str">
        <f t="shared" si="307"/>
        <v>OFF</v>
      </c>
      <c r="Q2092" t="str">
        <f t="shared" si="307"/>
        <v>OFF</v>
      </c>
      <c r="R2092" t="str">
        <f t="shared" si="307"/>
        <v>OFF</v>
      </c>
      <c r="S2092" t="str">
        <f t="shared" si="307"/>
        <v>OFF</v>
      </c>
      <c r="T2092" t="str">
        <f t="shared" si="307"/>
        <v>OFF</v>
      </c>
      <c r="U2092" t="str">
        <f t="shared" si="307"/>
        <v>OFF</v>
      </c>
      <c r="V2092" t="str">
        <f t="shared" si="308"/>
        <v>OFF</v>
      </c>
      <c r="W2092" t="str">
        <f t="shared" si="308"/>
        <v>OFF</v>
      </c>
      <c r="X2092" t="str">
        <f t="shared" si="308"/>
        <v>OFF</v>
      </c>
      <c r="Y2092" t="str">
        <f t="shared" si="308"/>
        <v>OFF</v>
      </c>
      <c r="Z2092" t="str">
        <f t="shared" si="308"/>
        <v>OFF</v>
      </c>
      <c r="AA2092" t="str">
        <f t="shared" si="308"/>
        <v>OFF</v>
      </c>
      <c r="AB2092" t="str">
        <f t="shared" si="308"/>
        <v>OFF</v>
      </c>
      <c r="AC2092" t="str">
        <f t="shared" si="308"/>
        <v>OFF</v>
      </c>
      <c r="AD2092" t="str">
        <f t="shared" si="308"/>
        <v>OFF</v>
      </c>
      <c r="AE2092" t="str">
        <f t="shared" si="308"/>
        <v>OFF</v>
      </c>
      <c r="AF2092" t="str">
        <f t="shared" si="308"/>
        <v>OFF</v>
      </c>
      <c r="AG2092" t="str">
        <f t="shared" si="308"/>
        <v>OFF</v>
      </c>
    </row>
    <row r="2093" spans="1:33">
      <c r="A2093" t="s">
        <v>2935</v>
      </c>
      <c r="B2093" t="str">
        <f t="shared" si="306"/>
        <v>OFF</v>
      </c>
      <c r="C2093" t="str">
        <f t="shared" si="306"/>
        <v>OFF</v>
      </c>
      <c r="D2093" t="str">
        <f t="shared" si="306"/>
        <v>OFF</v>
      </c>
      <c r="E2093" t="str">
        <f t="shared" si="306"/>
        <v>OFF</v>
      </c>
      <c r="F2093" t="str">
        <f t="shared" si="306"/>
        <v>OFF</v>
      </c>
      <c r="G2093" t="str">
        <f t="shared" si="306"/>
        <v>OFF</v>
      </c>
      <c r="H2093" t="str">
        <f t="shared" si="306"/>
        <v>OFF</v>
      </c>
      <c r="I2093" t="str">
        <f t="shared" si="306"/>
        <v>OFF</v>
      </c>
      <c r="J2093" t="str">
        <f t="shared" si="306"/>
        <v>OFF</v>
      </c>
      <c r="K2093" t="str">
        <f t="shared" si="306"/>
        <v>OFF</v>
      </c>
      <c r="L2093" t="str">
        <f t="shared" si="307"/>
        <v>OFF</v>
      </c>
      <c r="M2093" t="str">
        <f t="shared" si="307"/>
        <v>OFF</v>
      </c>
      <c r="N2093" t="str">
        <f t="shared" si="307"/>
        <v>OFF</v>
      </c>
      <c r="O2093" t="str">
        <f t="shared" si="307"/>
        <v>OFF</v>
      </c>
      <c r="P2093" t="str">
        <f t="shared" si="307"/>
        <v>OFF</v>
      </c>
      <c r="Q2093" t="str">
        <f t="shared" si="307"/>
        <v>OFF</v>
      </c>
      <c r="R2093" t="str">
        <f t="shared" si="307"/>
        <v>OFF</v>
      </c>
      <c r="S2093" t="str">
        <f t="shared" si="307"/>
        <v>OFF</v>
      </c>
      <c r="T2093" t="str">
        <f t="shared" si="307"/>
        <v>OFF</v>
      </c>
      <c r="U2093" t="str">
        <f t="shared" si="307"/>
        <v>OFF</v>
      </c>
      <c r="V2093" t="str">
        <f t="shared" si="308"/>
        <v>OFF</v>
      </c>
      <c r="W2093" t="str">
        <f t="shared" si="308"/>
        <v>OFF</v>
      </c>
      <c r="X2093" t="str">
        <f t="shared" si="308"/>
        <v>OFF</v>
      </c>
      <c r="Y2093" t="str">
        <f t="shared" si="308"/>
        <v>OFF</v>
      </c>
      <c r="Z2093" t="str">
        <f t="shared" si="308"/>
        <v>OFF</v>
      </c>
      <c r="AA2093" t="str">
        <f t="shared" si="308"/>
        <v>OFF</v>
      </c>
      <c r="AB2093" t="str">
        <f t="shared" si="308"/>
        <v>OFF</v>
      </c>
      <c r="AC2093" t="str">
        <f t="shared" si="308"/>
        <v>OFF</v>
      </c>
      <c r="AD2093" t="str">
        <f t="shared" si="308"/>
        <v>OFF</v>
      </c>
      <c r="AE2093" t="str">
        <f t="shared" si="308"/>
        <v>OFF</v>
      </c>
      <c r="AF2093" t="str">
        <f t="shared" si="308"/>
        <v>OFF</v>
      </c>
      <c r="AG2093" t="str">
        <f t="shared" si="308"/>
        <v>OFF</v>
      </c>
    </row>
    <row r="2094" spans="1:33">
      <c r="A2094" t="s">
        <v>2936</v>
      </c>
      <c r="B2094" t="str">
        <f t="shared" si="306"/>
        <v>OFF</v>
      </c>
      <c r="C2094" t="str">
        <f t="shared" si="306"/>
        <v>OFF</v>
      </c>
      <c r="D2094" t="str">
        <f t="shared" si="306"/>
        <v>OFF</v>
      </c>
      <c r="E2094" t="str">
        <f t="shared" si="306"/>
        <v>OFF</v>
      </c>
      <c r="F2094" t="str">
        <f t="shared" si="306"/>
        <v>OFF</v>
      </c>
      <c r="G2094" t="str">
        <f t="shared" si="306"/>
        <v>OFF</v>
      </c>
      <c r="H2094" t="str">
        <f t="shared" si="306"/>
        <v>OFF</v>
      </c>
      <c r="I2094" t="str">
        <f t="shared" si="306"/>
        <v>OFF</v>
      </c>
      <c r="J2094" t="str">
        <f t="shared" si="306"/>
        <v>OFF</v>
      </c>
      <c r="K2094" t="str">
        <f t="shared" si="306"/>
        <v>OFF</v>
      </c>
      <c r="L2094" t="str">
        <f t="shared" si="307"/>
        <v>OFF</v>
      </c>
      <c r="M2094" t="str">
        <f t="shared" si="307"/>
        <v>OFF</v>
      </c>
      <c r="N2094" t="str">
        <f t="shared" si="307"/>
        <v>OFF</v>
      </c>
      <c r="O2094" t="str">
        <f t="shared" si="307"/>
        <v>OFF</v>
      </c>
      <c r="P2094" t="str">
        <f t="shared" si="307"/>
        <v>OFF</v>
      </c>
      <c r="Q2094" t="str">
        <f t="shared" si="307"/>
        <v>OFF</v>
      </c>
      <c r="R2094" t="str">
        <f t="shared" si="307"/>
        <v>OFF</v>
      </c>
      <c r="S2094" t="str">
        <f t="shared" si="307"/>
        <v>OFF</v>
      </c>
      <c r="T2094" t="str">
        <f t="shared" si="307"/>
        <v>OFF</v>
      </c>
      <c r="U2094" t="str">
        <f t="shared" si="307"/>
        <v>OFF</v>
      </c>
      <c r="V2094" t="str">
        <f t="shared" si="308"/>
        <v>OFF</v>
      </c>
      <c r="W2094" t="str">
        <f t="shared" si="308"/>
        <v>OFF</v>
      </c>
      <c r="X2094" t="str">
        <f t="shared" si="308"/>
        <v>OFF</v>
      </c>
      <c r="Y2094" t="str">
        <f t="shared" si="308"/>
        <v>OFF</v>
      </c>
      <c r="Z2094" t="str">
        <f t="shared" si="308"/>
        <v>OFF</v>
      </c>
      <c r="AA2094" t="str">
        <f t="shared" si="308"/>
        <v>OFF</v>
      </c>
      <c r="AB2094" t="str">
        <f t="shared" si="308"/>
        <v>OFF</v>
      </c>
      <c r="AC2094" t="str">
        <f t="shared" si="308"/>
        <v>OFF</v>
      </c>
      <c r="AD2094" t="str">
        <f t="shared" si="308"/>
        <v>OFF</v>
      </c>
      <c r="AE2094" t="str">
        <f t="shared" si="308"/>
        <v>OFF</v>
      </c>
      <c r="AF2094" t="str">
        <f t="shared" si="308"/>
        <v>OFF</v>
      </c>
      <c r="AG2094" t="str">
        <f t="shared" si="308"/>
        <v>OFF</v>
      </c>
    </row>
    <row r="2095" spans="1:33">
      <c r="A2095" t="s">
        <v>2937</v>
      </c>
      <c r="B2095" t="str">
        <f t="shared" si="306"/>
        <v>OFF</v>
      </c>
      <c r="C2095" t="str">
        <f t="shared" si="306"/>
        <v>OFF</v>
      </c>
      <c r="D2095" t="str">
        <f t="shared" si="306"/>
        <v>OFF</v>
      </c>
      <c r="E2095" t="str">
        <f t="shared" si="306"/>
        <v>OFF</v>
      </c>
      <c r="F2095" t="str">
        <f t="shared" si="306"/>
        <v>OFF</v>
      </c>
      <c r="G2095" t="str">
        <f t="shared" si="306"/>
        <v>OFF</v>
      </c>
      <c r="H2095" t="str">
        <f t="shared" si="306"/>
        <v>OFF</v>
      </c>
      <c r="I2095" t="str">
        <f t="shared" si="306"/>
        <v>OFF</v>
      </c>
      <c r="J2095" t="str">
        <f t="shared" si="306"/>
        <v>OFF</v>
      </c>
      <c r="K2095" t="str">
        <f t="shared" si="306"/>
        <v>OFF</v>
      </c>
      <c r="L2095" t="str">
        <f t="shared" si="307"/>
        <v>OFF</v>
      </c>
      <c r="M2095" t="str">
        <f t="shared" si="307"/>
        <v>OFF</v>
      </c>
      <c r="N2095" t="str">
        <f t="shared" si="307"/>
        <v>OFF</v>
      </c>
      <c r="O2095" t="str">
        <f t="shared" si="307"/>
        <v>OFF</v>
      </c>
      <c r="P2095" t="str">
        <f t="shared" si="307"/>
        <v>OFF</v>
      </c>
      <c r="Q2095" t="str">
        <f t="shared" si="307"/>
        <v>OFF</v>
      </c>
      <c r="R2095" t="str">
        <f t="shared" si="307"/>
        <v>OFF</v>
      </c>
      <c r="S2095" t="str">
        <f t="shared" si="307"/>
        <v>OFF</v>
      </c>
      <c r="T2095" t="str">
        <f t="shared" si="307"/>
        <v>OFF</v>
      </c>
      <c r="U2095" t="str">
        <f t="shared" si="307"/>
        <v>OFF</v>
      </c>
      <c r="V2095" t="str">
        <f t="shared" si="308"/>
        <v>OFF</v>
      </c>
      <c r="W2095" t="str">
        <f t="shared" si="308"/>
        <v>OFF</v>
      </c>
      <c r="X2095" t="str">
        <f t="shared" si="308"/>
        <v>OFF</v>
      </c>
      <c r="Y2095" t="str">
        <f t="shared" si="308"/>
        <v>OFF</v>
      </c>
      <c r="Z2095" t="str">
        <f t="shared" si="308"/>
        <v>OFF</v>
      </c>
      <c r="AA2095" t="str">
        <f t="shared" si="308"/>
        <v>OFF</v>
      </c>
      <c r="AB2095" t="str">
        <f t="shared" si="308"/>
        <v>OFF</v>
      </c>
      <c r="AC2095" t="str">
        <f t="shared" si="308"/>
        <v>OFF</v>
      </c>
      <c r="AD2095" t="str">
        <f t="shared" si="308"/>
        <v>OFF</v>
      </c>
      <c r="AE2095" t="str">
        <f t="shared" si="308"/>
        <v>OFF</v>
      </c>
      <c r="AF2095" t="str">
        <f t="shared" si="308"/>
        <v>OFF</v>
      </c>
      <c r="AG2095" t="str">
        <f t="shared" si="308"/>
        <v>OFF</v>
      </c>
    </row>
    <row r="2096" spans="1:33">
      <c r="A2096" t="s">
        <v>2938</v>
      </c>
      <c r="B2096" t="str">
        <f t="shared" si="306"/>
        <v>OFF</v>
      </c>
      <c r="C2096" t="str">
        <f t="shared" si="306"/>
        <v>OFF</v>
      </c>
      <c r="D2096" t="str">
        <f t="shared" si="306"/>
        <v>OFF</v>
      </c>
      <c r="E2096" t="str">
        <f t="shared" si="306"/>
        <v>OFF</v>
      </c>
      <c r="F2096" t="str">
        <f t="shared" si="306"/>
        <v>OFF</v>
      </c>
      <c r="G2096" t="str">
        <f t="shared" si="306"/>
        <v>OFF</v>
      </c>
      <c r="H2096" t="str">
        <f t="shared" si="306"/>
        <v>OFF</v>
      </c>
      <c r="I2096" t="str">
        <f t="shared" si="306"/>
        <v>OFF</v>
      </c>
      <c r="J2096" t="str">
        <f t="shared" si="306"/>
        <v>OFF</v>
      </c>
      <c r="K2096" t="str">
        <f t="shared" si="306"/>
        <v>OFF</v>
      </c>
      <c r="L2096" t="str">
        <f t="shared" si="307"/>
        <v>OFF</v>
      </c>
      <c r="M2096" t="str">
        <f t="shared" si="307"/>
        <v>OFF</v>
      </c>
      <c r="N2096" t="str">
        <f t="shared" si="307"/>
        <v>OFF</v>
      </c>
      <c r="O2096" t="str">
        <f t="shared" si="307"/>
        <v>OFF</v>
      </c>
      <c r="P2096" t="str">
        <f t="shared" si="307"/>
        <v>OFF</v>
      </c>
      <c r="Q2096" t="str">
        <f t="shared" si="307"/>
        <v>OFF</v>
      </c>
      <c r="R2096" t="str">
        <f t="shared" si="307"/>
        <v>OFF</v>
      </c>
      <c r="S2096" t="str">
        <f t="shared" si="307"/>
        <v>OFF</v>
      </c>
      <c r="T2096" t="str">
        <f t="shared" si="307"/>
        <v>OFF</v>
      </c>
      <c r="U2096" t="str">
        <f t="shared" si="307"/>
        <v>OFF</v>
      </c>
      <c r="V2096" t="str">
        <f t="shared" si="308"/>
        <v>OFF</v>
      </c>
      <c r="W2096" t="str">
        <f t="shared" si="308"/>
        <v>OFF</v>
      </c>
      <c r="X2096" t="str">
        <f t="shared" si="308"/>
        <v>OFF</v>
      </c>
      <c r="Y2096" t="str">
        <f t="shared" si="308"/>
        <v>OFF</v>
      </c>
      <c r="Z2096" t="str">
        <f t="shared" si="308"/>
        <v>OFF</v>
      </c>
      <c r="AA2096" t="str">
        <f t="shared" si="308"/>
        <v>OFF</v>
      </c>
      <c r="AB2096" t="str">
        <f t="shared" si="308"/>
        <v>OFF</v>
      </c>
      <c r="AC2096" t="str">
        <f t="shared" si="308"/>
        <v>OFF</v>
      </c>
      <c r="AD2096" t="str">
        <f t="shared" si="308"/>
        <v>OFF</v>
      </c>
      <c r="AE2096" t="str">
        <f t="shared" si="308"/>
        <v>OFF</v>
      </c>
      <c r="AF2096" t="str">
        <f t="shared" si="308"/>
        <v>OFF</v>
      </c>
      <c r="AG2096" t="str">
        <f t="shared" si="308"/>
        <v>OFF</v>
      </c>
    </row>
    <row r="2097" spans="1:33">
      <c r="A2097" t="s">
        <v>2939</v>
      </c>
      <c r="B2097" t="str">
        <f t="shared" si="306"/>
        <v>OFF</v>
      </c>
      <c r="C2097" t="str">
        <f t="shared" si="306"/>
        <v>OFF</v>
      </c>
      <c r="D2097" t="str">
        <f t="shared" si="306"/>
        <v>OFF</v>
      </c>
      <c r="E2097" t="str">
        <f t="shared" si="306"/>
        <v>OFF</v>
      </c>
      <c r="F2097" t="str">
        <f t="shared" si="306"/>
        <v>OFF</v>
      </c>
      <c r="G2097" t="str">
        <f t="shared" si="306"/>
        <v>OFF</v>
      </c>
      <c r="H2097" t="str">
        <f t="shared" si="306"/>
        <v>OFF</v>
      </c>
      <c r="I2097" t="str">
        <f t="shared" si="306"/>
        <v>OFF</v>
      </c>
      <c r="J2097" t="str">
        <f t="shared" si="306"/>
        <v>OFF</v>
      </c>
      <c r="K2097" t="str">
        <f t="shared" si="306"/>
        <v>OFF</v>
      </c>
      <c r="L2097" t="str">
        <f t="shared" si="307"/>
        <v>OFF</v>
      </c>
      <c r="M2097" t="str">
        <f t="shared" si="307"/>
        <v>OFF</v>
      </c>
      <c r="N2097" t="str">
        <f t="shared" si="307"/>
        <v>OFF</v>
      </c>
      <c r="O2097" t="str">
        <f t="shared" si="307"/>
        <v>OFF</v>
      </c>
      <c r="P2097" t="str">
        <f t="shared" si="307"/>
        <v>OFF</v>
      </c>
      <c r="Q2097" t="str">
        <f t="shared" si="307"/>
        <v>OFF</v>
      </c>
      <c r="R2097" t="str">
        <f t="shared" si="307"/>
        <v>OFF</v>
      </c>
      <c r="S2097" t="str">
        <f t="shared" si="307"/>
        <v>OFF</v>
      </c>
      <c r="T2097" t="str">
        <f t="shared" si="307"/>
        <v>OFF</v>
      </c>
      <c r="U2097" t="str">
        <f t="shared" si="307"/>
        <v>OFF</v>
      </c>
      <c r="V2097" t="str">
        <f t="shared" si="308"/>
        <v>OFF</v>
      </c>
      <c r="W2097" t="str">
        <f t="shared" si="308"/>
        <v>OFF</v>
      </c>
      <c r="X2097" t="str">
        <f t="shared" si="308"/>
        <v>OFF</v>
      </c>
      <c r="Y2097" t="str">
        <f t="shared" si="308"/>
        <v>OFF</v>
      </c>
      <c r="Z2097" t="str">
        <f t="shared" si="308"/>
        <v>OFF</v>
      </c>
      <c r="AA2097" t="str">
        <f t="shared" si="308"/>
        <v>OFF</v>
      </c>
      <c r="AB2097" t="str">
        <f t="shared" si="308"/>
        <v>OFF</v>
      </c>
      <c r="AC2097" t="str">
        <f t="shared" si="308"/>
        <v>OFF</v>
      </c>
      <c r="AD2097" t="str">
        <f t="shared" si="308"/>
        <v>OFF</v>
      </c>
      <c r="AE2097" t="str">
        <f t="shared" si="308"/>
        <v>OFF</v>
      </c>
      <c r="AF2097" t="str">
        <f t="shared" si="308"/>
        <v>OFF</v>
      </c>
      <c r="AG2097" t="str">
        <f t="shared" si="308"/>
        <v>OFF</v>
      </c>
    </row>
    <row r="2098" spans="1:33">
      <c r="A2098" t="s">
        <v>2940</v>
      </c>
      <c r="B2098" t="str">
        <f t="shared" si="306"/>
        <v>OFF</v>
      </c>
      <c r="C2098" t="str">
        <f t="shared" si="306"/>
        <v>OFF</v>
      </c>
      <c r="D2098" t="str">
        <f t="shared" si="306"/>
        <v>OFF</v>
      </c>
      <c r="E2098" t="str">
        <f t="shared" si="306"/>
        <v>OFF</v>
      </c>
      <c r="F2098" t="str">
        <f t="shared" si="306"/>
        <v>OFF</v>
      </c>
      <c r="G2098" t="str">
        <f t="shared" si="306"/>
        <v>OFF</v>
      </c>
      <c r="H2098" t="str">
        <f t="shared" si="306"/>
        <v>OFF</v>
      </c>
      <c r="I2098" t="str">
        <f t="shared" si="306"/>
        <v>OFF</v>
      </c>
      <c r="J2098" t="str">
        <f t="shared" si="306"/>
        <v>OFF</v>
      </c>
      <c r="K2098" t="str">
        <f t="shared" si="306"/>
        <v>OFF</v>
      </c>
      <c r="L2098" t="str">
        <f t="shared" si="307"/>
        <v>OFF</v>
      </c>
      <c r="M2098" t="str">
        <f t="shared" si="307"/>
        <v>OFF</v>
      </c>
      <c r="N2098" t="str">
        <f t="shared" si="307"/>
        <v>OFF</v>
      </c>
      <c r="O2098" t="str">
        <f t="shared" si="307"/>
        <v>OFF</v>
      </c>
      <c r="P2098" t="str">
        <f t="shared" si="307"/>
        <v>OFF</v>
      </c>
      <c r="Q2098" t="str">
        <f t="shared" si="307"/>
        <v>OFF</v>
      </c>
      <c r="R2098" t="str">
        <f t="shared" si="307"/>
        <v>OFF</v>
      </c>
      <c r="S2098" t="str">
        <f t="shared" si="307"/>
        <v>OFF</v>
      </c>
      <c r="T2098" t="str">
        <f t="shared" si="307"/>
        <v>OFF</v>
      </c>
      <c r="U2098" t="str">
        <f t="shared" si="307"/>
        <v>OFF</v>
      </c>
      <c r="V2098" t="str">
        <f t="shared" si="308"/>
        <v>OFF</v>
      </c>
      <c r="W2098" t="str">
        <f t="shared" si="308"/>
        <v>OFF</v>
      </c>
      <c r="X2098" t="str">
        <f t="shared" si="308"/>
        <v>OFF</v>
      </c>
      <c r="Y2098" t="str">
        <f t="shared" si="308"/>
        <v>OFF</v>
      </c>
      <c r="Z2098" t="str">
        <f t="shared" si="308"/>
        <v>OFF</v>
      </c>
      <c r="AA2098" t="str">
        <f t="shared" si="308"/>
        <v>OFF</v>
      </c>
      <c r="AB2098" t="str">
        <f t="shared" si="308"/>
        <v>OFF</v>
      </c>
      <c r="AC2098" t="str">
        <f t="shared" si="308"/>
        <v>OFF</v>
      </c>
      <c r="AD2098" t="str">
        <f t="shared" si="308"/>
        <v>OFF</v>
      </c>
      <c r="AE2098" t="str">
        <f t="shared" si="308"/>
        <v>OFF</v>
      </c>
      <c r="AF2098" t="str">
        <f t="shared" si="308"/>
        <v>OFF</v>
      </c>
      <c r="AG2098" t="str">
        <f t="shared" si="308"/>
        <v>OFF</v>
      </c>
    </row>
    <row r="2099" spans="1:33">
      <c r="A2099" t="s">
        <v>2941</v>
      </c>
      <c r="B2099" t="str">
        <f t="shared" ref="B2099:K2108" si="309">"OFF"</f>
        <v>OFF</v>
      </c>
      <c r="C2099" t="str">
        <f t="shared" si="309"/>
        <v>OFF</v>
      </c>
      <c r="D2099" t="str">
        <f t="shared" si="309"/>
        <v>OFF</v>
      </c>
      <c r="E2099" t="str">
        <f t="shared" si="309"/>
        <v>OFF</v>
      </c>
      <c r="F2099" t="str">
        <f t="shared" si="309"/>
        <v>OFF</v>
      </c>
      <c r="G2099" t="str">
        <f t="shared" si="309"/>
        <v>OFF</v>
      </c>
      <c r="H2099" t="str">
        <f t="shared" si="309"/>
        <v>OFF</v>
      </c>
      <c r="I2099" t="str">
        <f t="shared" si="309"/>
        <v>OFF</v>
      </c>
      <c r="J2099" t="str">
        <f t="shared" si="309"/>
        <v>OFF</v>
      </c>
      <c r="K2099" t="str">
        <f t="shared" si="309"/>
        <v>OFF</v>
      </c>
      <c r="L2099" t="str">
        <f t="shared" ref="L2099:U2108" si="310">"OFF"</f>
        <v>OFF</v>
      </c>
      <c r="M2099" t="str">
        <f t="shared" si="310"/>
        <v>OFF</v>
      </c>
      <c r="N2099" t="str">
        <f t="shared" si="310"/>
        <v>OFF</v>
      </c>
      <c r="O2099" t="str">
        <f t="shared" si="310"/>
        <v>OFF</v>
      </c>
      <c r="P2099" t="str">
        <f t="shared" si="310"/>
        <v>OFF</v>
      </c>
      <c r="Q2099" t="str">
        <f t="shared" si="310"/>
        <v>OFF</v>
      </c>
      <c r="R2099" t="str">
        <f t="shared" si="310"/>
        <v>OFF</v>
      </c>
      <c r="S2099" t="str">
        <f t="shared" si="310"/>
        <v>OFF</v>
      </c>
      <c r="T2099" t="str">
        <f t="shared" si="310"/>
        <v>OFF</v>
      </c>
      <c r="U2099" t="str">
        <f t="shared" si="310"/>
        <v>OFF</v>
      </c>
      <c r="V2099" t="str">
        <f t="shared" ref="V2099:AG2108" si="311">"OFF"</f>
        <v>OFF</v>
      </c>
      <c r="W2099" t="str">
        <f t="shared" si="311"/>
        <v>OFF</v>
      </c>
      <c r="X2099" t="str">
        <f t="shared" si="311"/>
        <v>OFF</v>
      </c>
      <c r="Y2099" t="str">
        <f t="shared" si="311"/>
        <v>OFF</v>
      </c>
      <c r="Z2099" t="str">
        <f t="shared" si="311"/>
        <v>OFF</v>
      </c>
      <c r="AA2099" t="str">
        <f t="shared" si="311"/>
        <v>OFF</v>
      </c>
      <c r="AB2099" t="str">
        <f t="shared" si="311"/>
        <v>OFF</v>
      </c>
      <c r="AC2099" t="str">
        <f t="shared" si="311"/>
        <v>OFF</v>
      </c>
      <c r="AD2099" t="str">
        <f t="shared" si="311"/>
        <v>OFF</v>
      </c>
      <c r="AE2099" t="str">
        <f t="shared" si="311"/>
        <v>OFF</v>
      </c>
      <c r="AF2099" t="str">
        <f t="shared" si="311"/>
        <v>OFF</v>
      </c>
      <c r="AG2099" t="str">
        <f t="shared" si="311"/>
        <v>OFF</v>
      </c>
    </row>
    <row r="2100" spans="1:33">
      <c r="A2100" t="s">
        <v>2942</v>
      </c>
      <c r="B2100" t="str">
        <f t="shared" si="309"/>
        <v>OFF</v>
      </c>
      <c r="C2100" t="str">
        <f t="shared" si="309"/>
        <v>OFF</v>
      </c>
      <c r="D2100" t="str">
        <f t="shared" si="309"/>
        <v>OFF</v>
      </c>
      <c r="E2100" t="str">
        <f t="shared" si="309"/>
        <v>OFF</v>
      </c>
      <c r="F2100" t="str">
        <f t="shared" si="309"/>
        <v>OFF</v>
      </c>
      <c r="G2100" t="str">
        <f t="shared" si="309"/>
        <v>OFF</v>
      </c>
      <c r="H2100" t="str">
        <f t="shared" si="309"/>
        <v>OFF</v>
      </c>
      <c r="I2100" t="str">
        <f t="shared" si="309"/>
        <v>OFF</v>
      </c>
      <c r="J2100" t="str">
        <f t="shared" si="309"/>
        <v>OFF</v>
      </c>
      <c r="K2100" t="str">
        <f t="shared" si="309"/>
        <v>OFF</v>
      </c>
      <c r="L2100" t="str">
        <f t="shared" si="310"/>
        <v>OFF</v>
      </c>
      <c r="M2100" t="str">
        <f t="shared" si="310"/>
        <v>OFF</v>
      </c>
      <c r="N2100" t="str">
        <f t="shared" si="310"/>
        <v>OFF</v>
      </c>
      <c r="O2100" t="str">
        <f t="shared" si="310"/>
        <v>OFF</v>
      </c>
      <c r="P2100" t="str">
        <f t="shared" si="310"/>
        <v>OFF</v>
      </c>
      <c r="Q2100" t="str">
        <f t="shared" si="310"/>
        <v>OFF</v>
      </c>
      <c r="R2100" t="str">
        <f t="shared" si="310"/>
        <v>OFF</v>
      </c>
      <c r="S2100" t="str">
        <f t="shared" si="310"/>
        <v>OFF</v>
      </c>
      <c r="T2100" t="str">
        <f t="shared" si="310"/>
        <v>OFF</v>
      </c>
      <c r="U2100" t="str">
        <f t="shared" si="310"/>
        <v>OFF</v>
      </c>
      <c r="V2100" t="str">
        <f t="shared" si="311"/>
        <v>OFF</v>
      </c>
      <c r="W2100" t="str">
        <f t="shared" si="311"/>
        <v>OFF</v>
      </c>
      <c r="X2100" t="str">
        <f t="shared" si="311"/>
        <v>OFF</v>
      </c>
      <c r="Y2100" t="str">
        <f t="shared" si="311"/>
        <v>OFF</v>
      </c>
      <c r="Z2100" t="str">
        <f t="shared" si="311"/>
        <v>OFF</v>
      </c>
      <c r="AA2100" t="str">
        <f t="shared" si="311"/>
        <v>OFF</v>
      </c>
      <c r="AB2100" t="str">
        <f t="shared" si="311"/>
        <v>OFF</v>
      </c>
      <c r="AC2100" t="str">
        <f t="shared" si="311"/>
        <v>OFF</v>
      </c>
      <c r="AD2100" t="str">
        <f t="shared" si="311"/>
        <v>OFF</v>
      </c>
      <c r="AE2100" t="str">
        <f t="shared" si="311"/>
        <v>OFF</v>
      </c>
      <c r="AF2100" t="str">
        <f t="shared" si="311"/>
        <v>OFF</v>
      </c>
      <c r="AG2100" t="str">
        <f t="shared" si="311"/>
        <v>OFF</v>
      </c>
    </row>
    <row r="2101" spans="1:33">
      <c r="A2101" t="s">
        <v>2943</v>
      </c>
      <c r="B2101" t="str">
        <f t="shared" si="309"/>
        <v>OFF</v>
      </c>
      <c r="C2101" t="str">
        <f t="shared" si="309"/>
        <v>OFF</v>
      </c>
      <c r="D2101" t="str">
        <f t="shared" si="309"/>
        <v>OFF</v>
      </c>
      <c r="E2101" t="str">
        <f t="shared" si="309"/>
        <v>OFF</v>
      </c>
      <c r="F2101" t="str">
        <f t="shared" si="309"/>
        <v>OFF</v>
      </c>
      <c r="G2101" t="str">
        <f t="shared" si="309"/>
        <v>OFF</v>
      </c>
      <c r="H2101" t="str">
        <f t="shared" si="309"/>
        <v>OFF</v>
      </c>
      <c r="I2101" t="str">
        <f t="shared" si="309"/>
        <v>OFF</v>
      </c>
      <c r="J2101" t="str">
        <f t="shared" si="309"/>
        <v>OFF</v>
      </c>
      <c r="K2101" t="str">
        <f t="shared" si="309"/>
        <v>OFF</v>
      </c>
      <c r="L2101" t="str">
        <f t="shared" si="310"/>
        <v>OFF</v>
      </c>
      <c r="M2101" t="str">
        <f t="shared" si="310"/>
        <v>OFF</v>
      </c>
      <c r="N2101" t="str">
        <f t="shared" si="310"/>
        <v>OFF</v>
      </c>
      <c r="O2101" t="str">
        <f t="shared" si="310"/>
        <v>OFF</v>
      </c>
      <c r="P2101" t="str">
        <f t="shared" si="310"/>
        <v>OFF</v>
      </c>
      <c r="Q2101" t="str">
        <f t="shared" si="310"/>
        <v>OFF</v>
      </c>
      <c r="R2101" t="str">
        <f t="shared" si="310"/>
        <v>OFF</v>
      </c>
      <c r="S2101" t="str">
        <f t="shared" si="310"/>
        <v>OFF</v>
      </c>
      <c r="T2101" t="str">
        <f t="shared" si="310"/>
        <v>OFF</v>
      </c>
      <c r="U2101" t="str">
        <f t="shared" si="310"/>
        <v>OFF</v>
      </c>
      <c r="V2101" t="str">
        <f t="shared" si="311"/>
        <v>OFF</v>
      </c>
      <c r="W2101" t="str">
        <f t="shared" si="311"/>
        <v>OFF</v>
      </c>
      <c r="X2101" t="str">
        <f t="shared" si="311"/>
        <v>OFF</v>
      </c>
      <c r="Y2101" t="str">
        <f t="shared" si="311"/>
        <v>OFF</v>
      </c>
      <c r="Z2101" t="str">
        <f t="shared" si="311"/>
        <v>OFF</v>
      </c>
      <c r="AA2101" t="str">
        <f t="shared" si="311"/>
        <v>OFF</v>
      </c>
      <c r="AB2101" t="str">
        <f t="shared" si="311"/>
        <v>OFF</v>
      </c>
      <c r="AC2101" t="str">
        <f t="shared" si="311"/>
        <v>OFF</v>
      </c>
      <c r="AD2101" t="str">
        <f t="shared" si="311"/>
        <v>OFF</v>
      </c>
      <c r="AE2101" t="str">
        <f t="shared" si="311"/>
        <v>OFF</v>
      </c>
      <c r="AF2101" t="str">
        <f t="shared" si="311"/>
        <v>OFF</v>
      </c>
      <c r="AG2101" t="str">
        <f t="shared" si="311"/>
        <v>OFF</v>
      </c>
    </row>
    <row r="2102" spans="1:33">
      <c r="A2102" t="s">
        <v>2944</v>
      </c>
      <c r="B2102" t="str">
        <f t="shared" si="309"/>
        <v>OFF</v>
      </c>
      <c r="C2102" t="str">
        <f t="shared" si="309"/>
        <v>OFF</v>
      </c>
      <c r="D2102" t="str">
        <f t="shared" si="309"/>
        <v>OFF</v>
      </c>
      <c r="E2102" t="str">
        <f t="shared" si="309"/>
        <v>OFF</v>
      </c>
      <c r="F2102" t="str">
        <f t="shared" si="309"/>
        <v>OFF</v>
      </c>
      <c r="G2102" t="str">
        <f t="shared" si="309"/>
        <v>OFF</v>
      </c>
      <c r="H2102" t="str">
        <f t="shared" si="309"/>
        <v>OFF</v>
      </c>
      <c r="I2102" t="str">
        <f t="shared" si="309"/>
        <v>OFF</v>
      </c>
      <c r="J2102" t="str">
        <f t="shared" si="309"/>
        <v>OFF</v>
      </c>
      <c r="K2102" t="str">
        <f t="shared" si="309"/>
        <v>OFF</v>
      </c>
      <c r="L2102" t="str">
        <f t="shared" si="310"/>
        <v>OFF</v>
      </c>
      <c r="M2102" t="str">
        <f t="shared" si="310"/>
        <v>OFF</v>
      </c>
      <c r="N2102" t="str">
        <f t="shared" si="310"/>
        <v>OFF</v>
      </c>
      <c r="O2102" t="str">
        <f t="shared" si="310"/>
        <v>OFF</v>
      </c>
      <c r="P2102" t="str">
        <f t="shared" si="310"/>
        <v>OFF</v>
      </c>
      <c r="Q2102" t="str">
        <f t="shared" si="310"/>
        <v>OFF</v>
      </c>
      <c r="R2102" t="str">
        <f t="shared" si="310"/>
        <v>OFF</v>
      </c>
      <c r="S2102" t="str">
        <f t="shared" si="310"/>
        <v>OFF</v>
      </c>
      <c r="T2102" t="str">
        <f t="shared" si="310"/>
        <v>OFF</v>
      </c>
      <c r="U2102" t="str">
        <f t="shared" si="310"/>
        <v>OFF</v>
      </c>
      <c r="V2102" t="str">
        <f t="shared" si="311"/>
        <v>OFF</v>
      </c>
      <c r="W2102" t="str">
        <f t="shared" si="311"/>
        <v>OFF</v>
      </c>
      <c r="X2102" t="str">
        <f t="shared" si="311"/>
        <v>OFF</v>
      </c>
      <c r="Y2102" t="str">
        <f t="shared" si="311"/>
        <v>OFF</v>
      </c>
      <c r="Z2102" t="str">
        <f t="shared" si="311"/>
        <v>OFF</v>
      </c>
      <c r="AA2102" t="str">
        <f t="shared" si="311"/>
        <v>OFF</v>
      </c>
      <c r="AB2102" t="str">
        <f t="shared" si="311"/>
        <v>OFF</v>
      </c>
      <c r="AC2102" t="str">
        <f t="shared" si="311"/>
        <v>OFF</v>
      </c>
      <c r="AD2102" t="str">
        <f t="shared" si="311"/>
        <v>OFF</v>
      </c>
      <c r="AE2102" t="str">
        <f t="shared" si="311"/>
        <v>OFF</v>
      </c>
      <c r="AF2102" t="str">
        <f t="shared" si="311"/>
        <v>OFF</v>
      </c>
      <c r="AG2102" t="str">
        <f t="shared" si="311"/>
        <v>OFF</v>
      </c>
    </row>
    <row r="2103" spans="1:33">
      <c r="A2103" t="s">
        <v>2945</v>
      </c>
      <c r="B2103" t="str">
        <f t="shared" si="309"/>
        <v>OFF</v>
      </c>
      <c r="C2103" t="str">
        <f t="shared" si="309"/>
        <v>OFF</v>
      </c>
      <c r="D2103" t="str">
        <f t="shared" si="309"/>
        <v>OFF</v>
      </c>
      <c r="E2103" t="str">
        <f t="shared" si="309"/>
        <v>OFF</v>
      </c>
      <c r="F2103" t="str">
        <f t="shared" si="309"/>
        <v>OFF</v>
      </c>
      <c r="G2103" t="str">
        <f t="shared" si="309"/>
        <v>OFF</v>
      </c>
      <c r="H2103" t="str">
        <f t="shared" si="309"/>
        <v>OFF</v>
      </c>
      <c r="I2103" t="str">
        <f t="shared" si="309"/>
        <v>OFF</v>
      </c>
      <c r="J2103" t="str">
        <f t="shared" si="309"/>
        <v>OFF</v>
      </c>
      <c r="K2103" t="str">
        <f t="shared" si="309"/>
        <v>OFF</v>
      </c>
      <c r="L2103" t="str">
        <f t="shared" si="310"/>
        <v>OFF</v>
      </c>
      <c r="M2103" t="str">
        <f t="shared" si="310"/>
        <v>OFF</v>
      </c>
      <c r="N2103" t="str">
        <f t="shared" si="310"/>
        <v>OFF</v>
      </c>
      <c r="O2103" t="str">
        <f t="shared" si="310"/>
        <v>OFF</v>
      </c>
      <c r="P2103" t="str">
        <f t="shared" si="310"/>
        <v>OFF</v>
      </c>
      <c r="Q2103" t="str">
        <f t="shared" si="310"/>
        <v>OFF</v>
      </c>
      <c r="R2103" t="str">
        <f t="shared" si="310"/>
        <v>OFF</v>
      </c>
      <c r="S2103" t="str">
        <f t="shared" si="310"/>
        <v>OFF</v>
      </c>
      <c r="T2103" t="str">
        <f t="shared" si="310"/>
        <v>OFF</v>
      </c>
      <c r="U2103" t="str">
        <f t="shared" si="310"/>
        <v>OFF</v>
      </c>
      <c r="V2103" t="str">
        <f t="shared" si="311"/>
        <v>OFF</v>
      </c>
      <c r="W2103" t="str">
        <f t="shared" si="311"/>
        <v>OFF</v>
      </c>
      <c r="X2103" t="str">
        <f t="shared" si="311"/>
        <v>OFF</v>
      </c>
      <c r="Y2103" t="str">
        <f t="shared" si="311"/>
        <v>OFF</v>
      </c>
      <c r="Z2103" t="str">
        <f t="shared" si="311"/>
        <v>OFF</v>
      </c>
      <c r="AA2103" t="str">
        <f t="shared" si="311"/>
        <v>OFF</v>
      </c>
      <c r="AB2103" t="str">
        <f t="shared" si="311"/>
        <v>OFF</v>
      </c>
      <c r="AC2103" t="str">
        <f t="shared" si="311"/>
        <v>OFF</v>
      </c>
      <c r="AD2103" t="str">
        <f t="shared" si="311"/>
        <v>OFF</v>
      </c>
      <c r="AE2103" t="str">
        <f t="shared" si="311"/>
        <v>OFF</v>
      </c>
      <c r="AF2103" t="str">
        <f t="shared" si="311"/>
        <v>OFF</v>
      </c>
      <c r="AG2103" t="str">
        <f t="shared" si="311"/>
        <v>OFF</v>
      </c>
    </row>
    <row r="2104" spans="1:33">
      <c r="A2104" t="s">
        <v>2946</v>
      </c>
      <c r="B2104" t="str">
        <f t="shared" si="309"/>
        <v>OFF</v>
      </c>
      <c r="C2104" t="str">
        <f t="shared" si="309"/>
        <v>OFF</v>
      </c>
      <c r="D2104" t="str">
        <f t="shared" si="309"/>
        <v>OFF</v>
      </c>
      <c r="E2104" t="str">
        <f t="shared" si="309"/>
        <v>OFF</v>
      </c>
      <c r="F2104" t="str">
        <f t="shared" si="309"/>
        <v>OFF</v>
      </c>
      <c r="G2104" t="str">
        <f t="shared" si="309"/>
        <v>OFF</v>
      </c>
      <c r="H2104" t="str">
        <f t="shared" si="309"/>
        <v>OFF</v>
      </c>
      <c r="I2104" t="str">
        <f t="shared" si="309"/>
        <v>OFF</v>
      </c>
      <c r="J2104" t="str">
        <f t="shared" si="309"/>
        <v>OFF</v>
      </c>
      <c r="K2104" t="str">
        <f t="shared" si="309"/>
        <v>OFF</v>
      </c>
      <c r="L2104" t="str">
        <f t="shared" si="310"/>
        <v>OFF</v>
      </c>
      <c r="M2104" t="str">
        <f t="shared" si="310"/>
        <v>OFF</v>
      </c>
      <c r="N2104" t="str">
        <f t="shared" si="310"/>
        <v>OFF</v>
      </c>
      <c r="O2104" t="str">
        <f t="shared" si="310"/>
        <v>OFF</v>
      </c>
      <c r="P2104" t="str">
        <f t="shared" si="310"/>
        <v>OFF</v>
      </c>
      <c r="Q2104" t="str">
        <f t="shared" si="310"/>
        <v>OFF</v>
      </c>
      <c r="R2104" t="str">
        <f t="shared" si="310"/>
        <v>OFF</v>
      </c>
      <c r="S2104" t="str">
        <f t="shared" si="310"/>
        <v>OFF</v>
      </c>
      <c r="T2104" t="str">
        <f t="shared" si="310"/>
        <v>OFF</v>
      </c>
      <c r="U2104" t="str">
        <f t="shared" si="310"/>
        <v>OFF</v>
      </c>
      <c r="V2104" t="str">
        <f t="shared" si="311"/>
        <v>OFF</v>
      </c>
      <c r="W2104" t="str">
        <f t="shared" si="311"/>
        <v>OFF</v>
      </c>
      <c r="X2104" t="str">
        <f t="shared" si="311"/>
        <v>OFF</v>
      </c>
      <c r="Y2104" t="str">
        <f t="shared" si="311"/>
        <v>OFF</v>
      </c>
      <c r="Z2104" t="str">
        <f t="shared" si="311"/>
        <v>OFF</v>
      </c>
      <c r="AA2104" t="str">
        <f t="shared" si="311"/>
        <v>OFF</v>
      </c>
      <c r="AB2104" t="str">
        <f t="shared" si="311"/>
        <v>OFF</v>
      </c>
      <c r="AC2104" t="str">
        <f t="shared" si="311"/>
        <v>OFF</v>
      </c>
      <c r="AD2104" t="str">
        <f t="shared" si="311"/>
        <v>OFF</v>
      </c>
      <c r="AE2104" t="str">
        <f t="shared" si="311"/>
        <v>OFF</v>
      </c>
      <c r="AF2104" t="str">
        <f t="shared" si="311"/>
        <v>OFF</v>
      </c>
      <c r="AG2104" t="str">
        <f t="shared" si="311"/>
        <v>OFF</v>
      </c>
    </row>
    <row r="2105" spans="1:33">
      <c r="A2105" t="s">
        <v>2947</v>
      </c>
      <c r="B2105" t="str">
        <f t="shared" si="309"/>
        <v>OFF</v>
      </c>
      <c r="C2105" t="str">
        <f t="shared" si="309"/>
        <v>OFF</v>
      </c>
      <c r="D2105" t="str">
        <f t="shared" si="309"/>
        <v>OFF</v>
      </c>
      <c r="E2105" t="str">
        <f t="shared" si="309"/>
        <v>OFF</v>
      </c>
      <c r="F2105" t="str">
        <f t="shared" si="309"/>
        <v>OFF</v>
      </c>
      <c r="G2105" t="str">
        <f t="shared" si="309"/>
        <v>OFF</v>
      </c>
      <c r="H2105" t="str">
        <f t="shared" si="309"/>
        <v>OFF</v>
      </c>
      <c r="I2105" t="str">
        <f t="shared" si="309"/>
        <v>OFF</v>
      </c>
      <c r="J2105" t="str">
        <f t="shared" si="309"/>
        <v>OFF</v>
      </c>
      <c r="K2105" t="str">
        <f t="shared" si="309"/>
        <v>OFF</v>
      </c>
      <c r="L2105" t="str">
        <f t="shared" si="310"/>
        <v>OFF</v>
      </c>
      <c r="M2105" t="str">
        <f t="shared" si="310"/>
        <v>OFF</v>
      </c>
      <c r="N2105" t="str">
        <f t="shared" si="310"/>
        <v>OFF</v>
      </c>
      <c r="O2105" t="str">
        <f t="shared" si="310"/>
        <v>OFF</v>
      </c>
      <c r="P2105" t="str">
        <f t="shared" si="310"/>
        <v>OFF</v>
      </c>
      <c r="Q2105" t="str">
        <f t="shared" si="310"/>
        <v>OFF</v>
      </c>
      <c r="R2105" t="str">
        <f t="shared" si="310"/>
        <v>OFF</v>
      </c>
      <c r="S2105" t="str">
        <f t="shared" si="310"/>
        <v>OFF</v>
      </c>
      <c r="T2105" t="str">
        <f t="shared" si="310"/>
        <v>OFF</v>
      </c>
      <c r="U2105" t="str">
        <f t="shared" si="310"/>
        <v>OFF</v>
      </c>
      <c r="V2105" t="str">
        <f t="shared" si="311"/>
        <v>OFF</v>
      </c>
      <c r="W2105" t="str">
        <f t="shared" si="311"/>
        <v>OFF</v>
      </c>
      <c r="X2105" t="str">
        <f t="shared" si="311"/>
        <v>OFF</v>
      </c>
      <c r="Y2105" t="str">
        <f t="shared" si="311"/>
        <v>OFF</v>
      </c>
      <c r="Z2105" t="str">
        <f t="shared" si="311"/>
        <v>OFF</v>
      </c>
      <c r="AA2105" t="str">
        <f t="shared" si="311"/>
        <v>OFF</v>
      </c>
      <c r="AB2105" t="str">
        <f t="shared" si="311"/>
        <v>OFF</v>
      </c>
      <c r="AC2105" t="str">
        <f t="shared" si="311"/>
        <v>OFF</v>
      </c>
      <c r="AD2105" t="str">
        <f t="shared" si="311"/>
        <v>OFF</v>
      </c>
      <c r="AE2105" t="str">
        <f t="shared" si="311"/>
        <v>OFF</v>
      </c>
      <c r="AF2105" t="str">
        <f t="shared" si="311"/>
        <v>OFF</v>
      </c>
      <c r="AG2105" t="str">
        <f t="shared" si="311"/>
        <v>OFF</v>
      </c>
    </row>
    <row r="2106" spans="1:33">
      <c r="A2106" t="s">
        <v>2948</v>
      </c>
      <c r="B2106" t="str">
        <f t="shared" si="309"/>
        <v>OFF</v>
      </c>
      <c r="C2106" t="str">
        <f t="shared" si="309"/>
        <v>OFF</v>
      </c>
      <c r="D2106" t="str">
        <f t="shared" si="309"/>
        <v>OFF</v>
      </c>
      <c r="E2106" t="str">
        <f t="shared" si="309"/>
        <v>OFF</v>
      </c>
      <c r="F2106" t="str">
        <f t="shared" si="309"/>
        <v>OFF</v>
      </c>
      <c r="G2106" t="str">
        <f t="shared" si="309"/>
        <v>OFF</v>
      </c>
      <c r="H2106" t="str">
        <f t="shared" si="309"/>
        <v>OFF</v>
      </c>
      <c r="I2106" t="str">
        <f t="shared" si="309"/>
        <v>OFF</v>
      </c>
      <c r="J2106" t="str">
        <f t="shared" si="309"/>
        <v>OFF</v>
      </c>
      <c r="K2106" t="str">
        <f t="shared" si="309"/>
        <v>OFF</v>
      </c>
      <c r="L2106" t="str">
        <f t="shared" si="310"/>
        <v>OFF</v>
      </c>
      <c r="M2106" t="str">
        <f t="shared" si="310"/>
        <v>OFF</v>
      </c>
      <c r="N2106" t="str">
        <f t="shared" si="310"/>
        <v>OFF</v>
      </c>
      <c r="O2106" t="str">
        <f t="shared" si="310"/>
        <v>OFF</v>
      </c>
      <c r="P2106" t="str">
        <f t="shared" si="310"/>
        <v>OFF</v>
      </c>
      <c r="Q2106" t="str">
        <f t="shared" si="310"/>
        <v>OFF</v>
      </c>
      <c r="R2106" t="str">
        <f t="shared" si="310"/>
        <v>OFF</v>
      </c>
      <c r="S2106" t="str">
        <f t="shared" si="310"/>
        <v>OFF</v>
      </c>
      <c r="T2106" t="str">
        <f t="shared" si="310"/>
        <v>OFF</v>
      </c>
      <c r="U2106" t="str">
        <f t="shared" si="310"/>
        <v>OFF</v>
      </c>
      <c r="V2106" t="str">
        <f t="shared" si="311"/>
        <v>OFF</v>
      </c>
      <c r="W2106" t="str">
        <f t="shared" si="311"/>
        <v>OFF</v>
      </c>
      <c r="X2106" t="str">
        <f t="shared" si="311"/>
        <v>OFF</v>
      </c>
      <c r="Y2106" t="str">
        <f t="shared" si="311"/>
        <v>OFF</v>
      </c>
      <c r="Z2106" t="str">
        <f t="shared" si="311"/>
        <v>OFF</v>
      </c>
      <c r="AA2106" t="str">
        <f t="shared" si="311"/>
        <v>OFF</v>
      </c>
      <c r="AB2106" t="str">
        <f t="shared" si="311"/>
        <v>OFF</v>
      </c>
      <c r="AC2106" t="str">
        <f t="shared" si="311"/>
        <v>OFF</v>
      </c>
      <c r="AD2106" t="str">
        <f t="shared" si="311"/>
        <v>OFF</v>
      </c>
      <c r="AE2106" t="str">
        <f t="shared" si="311"/>
        <v>OFF</v>
      </c>
      <c r="AF2106" t="str">
        <f t="shared" si="311"/>
        <v>OFF</v>
      </c>
      <c r="AG2106" t="str">
        <f t="shared" si="311"/>
        <v>OFF</v>
      </c>
    </row>
    <row r="2107" spans="1:33">
      <c r="A2107" t="s">
        <v>2949</v>
      </c>
      <c r="B2107" t="str">
        <f t="shared" si="309"/>
        <v>OFF</v>
      </c>
      <c r="C2107" t="str">
        <f t="shared" si="309"/>
        <v>OFF</v>
      </c>
      <c r="D2107" t="str">
        <f t="shared" si="309"/>
        <v>OFF</v>
      </c>
      <c r="E2107" t="str">
        <f t="shared" si="309"/>
        <v>OFF</v>
      </c>
      <c r="F2107" t="str">
        <f t="shared" si="309"/>
        <v>OFF</v>
      </c>
      <c r="G2107" t="str">
        <f t="shared" si="309"/>
        <v>OFF</v>
      </c>
      <c r="H2107" t="str">
        <f t="shared" si="309"/>
        <v>OFF</v>
      </c>
      <c r="I2107" t="str">
        <f t="shared" si="309"/>
        <v>OFF</v>
      </c>
      <c r="J2107" t="str">
        <f t="shared" si="309"/>
        <v>OFF</v>
      </c>
      <c r="K2107" t="str">
        <f t="shared" si="309"/>
        <v>OFF</v>
      </c>
      <c r="L2107" t="str">
        <f t="shared" si="310"/>
        <v>OFF</v>
      </c>
      <c r="M2107" t="str">
        <f t="shared" si="310"/>
        <v>OFF</v>
      </c>
      <c r="N2107" t="str">
        <f t="shared" si="310"/>
        <v>OFF</v>
      </c>
      <c r="O2107" t="str">
        <f t="shared" si="310"/>
        <v>OFF</v>
      </c>
      <c r="P2107" t="str">
        <f t="shared" si="310"/>
        <v>OFF</v>
      </c>
      <c r="Q2107" t="str">
        <f t="shared" si="310"/>
        <v>OFF</v>
      </c>
      <c r="R2107" t="str">
        <f t="shared" si="310"/>
        <v>OFF</v>
      </c>
      <c r="S2107" t="str">
        <f t="shared" si="310"/>
        <v>OFF</v>
      </c>
      <c r="T2107" t="str">
        <f t="shared" si="310"/>
        <v>OFF</v>
      </c>
      <c r="U2107" t="str">
        <f t="shared" si="310"/>
        <v>OFF</v>
      </c>
      <c r="V2107" t="str">
        <f t="shared" si="311"/>
        <v>OFF</v>
      </c>
      <c r="W2107" t="str">
        <f t="shared" si="311"/>
        <v>OFF</v>
      </c>
      <c r="X2107" t="str">
        <f t="shared" si="311"/>
        <v>OFF</v>
      </c>
      <c r="Y2107" t="str">
        <f t="shared" si="311"/>
        <v>OFF</v>
      </c>
      <c r="Z2107" t="str">
        <f t="shared" si="311"/>
        <v>OFF</v>
      </c>
      <c r="AA2107" t="str">
        <f t="shared" si="311"/>
        <v>OFF</v>
      </c>
      <c r="AB2107" t="str">
        <f t="shared" si="311"/>
        <v>OFF</v>
      </c>
      <c r="AC2107" t="str">
        <f t="shared" si="311"/>
        <v>OFF</v>
      </c>
      <c r="AD2107" t="str">
        <f t="shared" si="311"/>
        <v>OFF</v>
      </c>
      <c r="AE2107" t="str">
        <f t="shared" si="311"/>
        <v>OFF</v>
      </c>
      <c r="AF2107" t="str">
        <f t="shared" si="311"/>
        <v>OFF</v>
      </c>
      <c r="AG2107" t="str">
        <f t="shared" si="311"/>
        <v>OFF</v>
      </c>
    </row>
    <row r="2108" spans="1:33">
      <c r="A2108" t="s">
        <v>2950</v>
      </c>
      <c r="B2108" t="str">
        <f t="shared" si="309"/>
        <v>OFF</v>
      </c>
      <c r="C2108" t="str">
        <f t="shared" si="309"/>
        <v>OFF</v>
      </c>
      <c r="D2108" t="str">
        <f t="shared" si="309"/>
        <v>OFF</v>
      </c>
      <c r="E2108" t="str">
        <f t="shared" si="309"/>
        <v>OFF</v>
      </c>
      <c r="F2108" t="str">
        <f t="shared" si="309"/>
        <v>OFF</v>
      </c>
      <c r="G2108" t="str">
        <f t="shared" si="309"/>
        <v>OFF</v>
      </c>
      <c r="H2108" t="str">
        <f t="shared" si="309"/>
        <v>OFF</v>
      </c>
      <c r="I2108" t="str">
        <f t="shared" si="309"/>
        <v>OFF</v>
      </c>
      <c r="J2108" t="str">
        <f t="shared" si="309"/>
        <v>OFF</v>
      </c>
      <c r="K2108" t="str">
        <f t="shared" si="309"/>
        <v>OFF</v>
      </c>
      <c r="L2108" t="str">
        <f t="shared" si="310"/>
        <v>OFF</v>
      </c>
      <c r="M2108" t="str">
        <f t="shared" si="310"/>
        <v>OFF</v>
      </c>
      <c r="N2108" t="str">
        <f t="shared" si="310"/>
        <v>OFF</v>
      </c>
      <c r="O2108" t="str">
        <f t="shared" si="310"/>
        <v>OFF</v>
      </c>
      <c r="P2108" t="str">
        <f t="shared" si="310"/>
        <v>OFF</v>
      </c>
      <c r="Q2108" t="str">
        <f t="shared" si="310"/>
        <v>OFF</v>
      </c>
      <c r="R2108" t="str">
        <f t="shared" si="310"/>
        <v>OFF</v>
      </c>
      <c r="S2108" t="str">
        <f t="shared" si="310"/>
        <v>OFF</v>
      </c>
      <c r="T2108" t="str">
        <f t="shared" si="310"/>
        <v>OFF</v>
      </c>
      <c r="U2108" t="str">
        <f t="shared" si="310"/>
        <v>OFF</v>
      </c>
      <c r="V2108" t="str">
        <f t="shared" si="311"/>
        <v>OFF</v>
      </c>
      <c r="W2108" t="str">
        <f t="shared" si="311"/>
        <v>OFF</v>
      </c>
      <c r="X2108" t="str">
        <f t="shared" si="311"/>
        <v>OFF</v>
      </c>
      <c r="Y2108" t="str">
        <f t="shared" si="311"/>
        <v>OFF</v>
      </c>
      <c r="Z2108" t="str">
        <f t="shared" si="311"/>
        <v>OFF</v>
      </c>
      <c r="AA2108" t="str">
        <f t="shared" si="311"/>
        <v>OFF</v>
      </c>
      <c r="AB2108" t="str">
        <f t="shared" si="311"/>
        <v>OFF</v>
      </c>
      <c r="AC2108" t="str">
        <f t="shared" si="311"/>
        <v>OFF</v>
      </c>
      <c r="AD2108" t="str">
        <f t="shared" si="311"/>
        <v>OFF</v>
      </c>
      <c r="AE2108" t="str">
        <f t="shared" si="311"/>
        <v>OFF</v>
      </c>
      <c r="AF2108" t="str">
        <f t="shared" si="311"/>
        <v>OFF</v>
      </c>
      <c r="AG2108" t="str">
        <f t="shared" si="311"/>
        <v>OFF</v>
      </c>
    </row>
    <row r="2109" spans="1:33">
      <c r="A2109" t="s">
        <v>2951</v>
      </c>
      <c r="B2109" t="str">
        <f t="shared" ref="B2109:K2118" si="312">"OFF"</f>
        <v>OFF</v>
      </c>
      <c r="C2109" t="str">
        <f t="shared" si="312"/>
        <v>OFF</v>
      </c>
      <c r="D2109" t="str">
        <f t="shared" si="312"/>
        <v>OFF</v>
      </c>
      <c r="E2109" t="str">
        <f t="shared" si="312"/>
        <v>OFF</v>
      </c>
      <c r="F2109" t="str">
        <f t="shared" si="312"/>
        <v>OFF</v>
      </c>
      <c r="G2109" t="str">
        <f t="shared" si="312"/>
        <v>OFF</v>
      </c>
      <c r="H2109" t="str">
        <f t="shared" si="312"/>
        <v>OFF</v>
      </c>
      <c r="I2109" t="str">
        <f t="shared" si="312"/>
        <v>OFF</v>
      </c>
      <c r="J2109" t="str">
        <f t="shared" si="312"/>
        <v>OFF</v>
      </c>
      <c r="K2109" t="str">
        <f t="shared" si="312"/>
        <v>OFF</v>
      </c>
      <c r="L2109" t="str">
        <f t="shared" ref="L2109:U2118" si="313">"OFF"</f>
        <v>OFF</v>
      </c>
      <c r="M2109" t="str">
        <f t="shared" si="313"/>
        <v>OFF</v>
      </c>
      <c r="N2109" t="str">
        <f t="shared" si="313"/>
        <v>OFF</v>
      </c>
      <c r="O2109" t="str">
        <f t="shared" si="313"/>
        <v>OFF</v>
      </c>
      <c r="P2109" t="str">
        <f t="shared" si="313"/>
        <v>OFF</v>
      </c>
      <c r="Q2109" t="str">
        <f t="shared" si="313"/>
        <v>OFF</v>
      </c>
      <c r="R2109" t="str">
        <f t="shared" si="313"/>
        <v>OFF</v>
      </c>
      <c r="S2109" t="str">
        <f t="shared" si="313"/>
        <v>OFF</v>
      </c>
      <c r="T2109" t="str">
        <f t="shared" si="313"/>
        <v>OFF</v>
      </c>
      <c r="U2109" t="str">
        <f t="shared" si="313"/>
        <v>OFF</v>
      </c>
      <c r="V2109" t="str">
        <f t="shared" ref="V2109:AG2118" si="314">"OFF"</f>
        <v>OFF</v>
      </c>
      <c r="W2109" t="str">
        <f t="shared" si="314"/>
        <v>OFF</v>
      </c>
      <c r="X2109" t="str">
        <f t="shared" si="314"/>
        <v>OFF</v>
      </c>
      <c r="Y2109" t="str">
        <f t="shared" si="314"/>
        <v>OFF</v>
      </c>
      <c r="Z2109" t="str">
        <f t="shared" si="314"/>
        <v>OFF</v>
      </c>
      <c r="AA2109" t="str">
        <f t="shared" si="314"/>
        <v>OFF</v>
      </c>
      <c r="AB2109" t="str">
        <f t="shared" si="314"/>
        <v>OFF</v>
      </c>
      <c r="AC2109" t="str">
        <f t="shared" si="314"/>
        <v>OFF</v>
      </c>
      <c r="AD2109" t="str">
        <f t="shared" si="314"/>
        <v>OFF</v>
      </c>
      <c r="AE2109" t="str">
        <f t="shared" si="314"/>
        <v>OFF</v>
      </c>
      <c r="AF2109" t="str">
        <f t="shared" si="314"/>
        <v>OFF</v>
      </c>
      <c r="AG2109" t="str">
        <f t="shared" si="314"/>
        <v>OFF</v>
      </c>
    </row>
    <row r="2110" spans="1:33">
      <c r="A2110" t="s">
        <v>2952</v>
      </c>
      <c r="B2110" t="str">
        <f t="shared" si="312"/>
        <v>OFF</v>
      </c>
      <c r="C2110" t="str">
        <f t="shared" si="312"/>
        <v>OFF</v>
      </c>
      <c r="D2110" t="str">
        <f t="shared" si="312"/>
        <v>OFF</v>
      </c>
      <c r="E2110" t="str">
        <f t="shared" si="312"/>
        <v>OFF</v>
      </c>
      <c r="F2110" t="str">
        <f t="shared" si="312"/>
        <v>OFF</v>
      </c>
      <c r="G2110" t="str">
        <f t="shared" si="312"/>
        <v>OFF</v>
      </c>
      <c r="H2110" t="str">
        <f t="shared" si="312"/>
        <v>OFF</v>
      </c>
      <c r="I2110" t="str">
        <f t="shared" si="312"/>
        <v>OFF</v>
      </c>
      <c r="J2110" t="str">
        <f t="shared" si="312"/>
        <v>OFF</v>
      </c>
      <c r="K2110" t="str">
        <f t="shared" si="312"/>
        <v>OFF</v>
      </c>
      <c r="L2110" t="str">
        <f t="shared" si="313"/>
        <v>OFF</v>
      </c>
      <c r="M2110" t="str">
        <f t="shared" si="313"/>
        <v>OFF</v>
      </c>
      <c r="N2110" t="str">
        <f t="shared" si="313"/>
        <v>OFF</v>
      </c>
      <c r="O2110" t="str">
        <f t="shared" si="313"/>
        <v>OFF</v>
      </c>
      <c r="P2110" t="str">
        <f t="shared" si="313"/>
        <v>OFF</v>
      </c>
      <c r="Q2110" t="str">
        <f t="shared" si="313"/>
        <v>OFF</v>
      </c>
      <c r="R2110" t="str">
        <f t="shared" si="313"/>
        <v>OFF</v>
      </c>
      <c r="S2110" t="str">
        <f t="shared" si="313"/>
        <v>OFF</v>
      </c>
      <c r="T2110" t="str">
        <f t="shared" si="313"/>
        <v>OFF</v>
      </c>
      <c r="U2110" t="str">
        <f t="shared" si="313"/>
        <v>OFF</v>
      </c>
      <c r="V2110" t="str">
        <f t="shared" si="314"/>
        <v>OFF</v>
      </c>
      <c r="W2110" t="str">
        <f t="shared" si="314"/>
        <v>OFF</v>
      </c>
      <c r="X2110" t="str">
        <f t="shared" si="314"/>
        <v>OFF</v>
      </c>
      <c r="Y2110" t="str">
        <f t="shared" si="314"/>
        <v>OFF</v>
      </c>
      <c r="Z2110" t="str">
        <f t="shared" si="314"/>
        <v>OFF</v>
      </c>
      <c r="AA2110" t="str">
        <f t="shared" si="314"/>
        <v>OFF</v>
      </c>
      <c r="AB2110" t="str">
        <f t="shared" si="314"/>
        <v>OFF</v>
      </c>
      <c r="AC2110" t="str">
        <f t="shared" si="314"/>
        <v>OFF</v>
      </c>
      <c r="AD2110" t="str">
        <f t="shared" si="314"/>
        <v>OFF</v>
      </c>
      <c r="AE2110" t="str">
        <f t="shared" si="314"/>
        <v>OFF</v>
      </c>
      <c r="AF2110" t="str">
        <f t="shared" si="314"/>
        <v>OFF</v>
      </c>
      <c r="AG2110" t="str">
        <f t="shared" si="314"/>
        <v>OFF</v>
      </c>
    </row>
    <row r="2111" spans="1:33">
      <c r="A2111" t="s">
        <v>2953</v>
      </c>
      <c r="B2111" t="str">
        <f t="shared" si="312"/>
        <v>OFF</v>
      </c>
      <c r="C2111" t="str">
        <f t="shared" si="312"/>
        <v>OFF</v>
      </c>
      <c r="D2111" t="str">
        <f t="shared" si="312"/>
        <v>OFF</v>
      </c>
      <c r="E2111" t="str">
        <f t="shared" si="312"/>
        <v>OFF</v>
      </c>
      <c r="F2111" t="str">
        <f t="shared" si="312"/>
        <v>OFF</v>
      </c>
      <c r="G2111" t="str">
        <f t="shared" si="312"/>
        <v>OFF</v>
      </c>
      <c r="H2111" t="str">
        <f t="shared" si="312"/>
        <v>OFF</v>
      </c>
      <c r="I2111" t="str">
        <f t="shared" si="312"/>
        <v>OFF</v>
      </c>
      <c r="J2111" t="str">
        <f t="shared" si="312"/>
        <v>OFF</v>
      </c>
      <c r="K2111" t="str">
        <f t="shared" si="312"/>
        <v>OFF</v>
      </c>
      <c r="L2111" t="str">
        <f t="shared" si="313"/>
        <v>OFF</v>
      </c>
      <c r="M2111" t="str">
        <f t="shared" si="313"/>
        <v>OFF</v>
      </c>
      <c r="N2111" t="str">
        <f t="shared" si="313"/>
        <v>OFF</v>
      </c>
      <c r="O2111" t="str">
        <f t="shared" si="313"/>
        <v>OFF</v>
      </c>
      <c r="P2111" t="str">
        <f t="shared" si="313"/>
        <v>OFF</v>
      </c>
      <c r="Q2111" t="str">
        <f t="shared" si="313"/>
        <v>OFF</v>
      </c>
      <c r="R2111" t="str">
        <f t="shared" si="313"/>
        <v>OFF</v>
      </c>
      <c r="S2111" t="str">
        <f t="shared" si="313"/>
        <v>OFF</v>
      </c>
      <c r="T2111" t="str">
        <f t="shared" si="313"/>
        <v>OFF</v>
      </c>
      <c r="U2111" t="str">
        <f t="shared" si="313"/>
        <v>OFF</v>
      </c>
      <c r="V2111" t="str">
        <f t="shared" si="314"/>
        <v>OFF</v>
      </c>
      <c r="W2111" t="str">
        <f t="shared" si="314"/>
        <v>OFF</v>
      </c>
      <c r="X2111" t="str">
        <f t="shared" si="314"/>
        <v>OFF</v>
      </c>
      <c r="Y2111" t="str">
        <f t="shared" si="314"/>
        <v>OFF</v>
      </c>
      <c r="Z2111" t="str">
        <f t="shared" si="314"/>
        <v>OFF</v>
      </c>
      <c r="AA2111" t="str">
        <f t="shared" si="314"/>
        <v>OFF</v>
      </c>
      <c r="AB2111" t="str">
        <f t="shared" si="314"/>
        <v>OFF</v>
      </c>
      <c r="AC2111" t="str">
        <f t="shared" si="314"/>
        <v>OFF</v>
      </c>
      <c r="AD2111" t="str">
        <f t="shared" si="314"/>
        <v>OFF</v>
      </c>
      <c r="AE2111" t="str">
        <f t="shared" si="314"/>
        <v>OFF</v>
      </c>
      <c r="AF2111" t="str">
        <f t="shared" si="314"/>
        <v>OFF</v>
      </c>
      <c r="AG2111" t="str">
        <f t="shared" si="314"/>
        <v>OFF</v>
      </c>
    </row>
    <row r="2112" spans="1:33">
      <c r="A2112" t="s">
        <v>2954</v>
      </c>
      <c r="B2112" t="str">
        <f t="shared" si="312"/>
        <v>OFF</v>
      </c>
      <c r="C2112" t="str">
        <f t="shared" si="312"/>
        <v>OFF</v>
      </c>
      <c r="D2112" t="str">
        <f t="shared" si="312"/>
        <v>OFF</v>
      </c>
      <c r="E2112" t="str">
        <f t="shared" si="312"/>
        <v>OFF</v>
      </c>
      <c r="F2112" t="str">
        <f t="shared" si="312"/>
        <v>OFF</v>
      </c>
      <c r="G2112" t="str">
        <f t="shared" si="312"/>
        <v>OFF</v>
      </c>
      <c r="H2112" t="str">
        <f t="shared" si="312"/>
        <v>OFF</v>
      </c>
      <c r="I2112" t="str">
        <f t="shared" si="312"/>
        <v>OFF</v>
      </c>
      <c r="J2112" t="str">
        <f t="shared" si="312"/>
        <v>OFF</v>
      </c>
      <c r="K2112" t="str">
        <f t="shared" si="312"/>
        <v>OFF</v>
      </c>
      <c r="L2112" t="str">
        <f t="shared" si="313"/>
        <v>OFF</v>
      </c>
      <c r="M2112" t="str">
        <f t="shared" si="313"/>
        <v>OFF</v>
      </c>
      <c r="N2112" t="str">
        <f t="shared" si="313"/>
        <v>OFF</v>
      </c>
      <c r="O2112" t="str">
        <f t="shared" si="313"/>
        <v>OFF</v>
      </c>
      <c r="P2112" t="str">
        <f t="shared" si="313"/>
        <v>OFF</v>
      </c>
      <c r="Q2112" t="str">
        <f t="shared" si="313"/>
        <v>OFF</v>
      </c>
      <c r="R2112" t="str">
        <f t="shared" si="313"/>
        <v>OFF</v>
      </c>
      <c r="S2112" t="str">
        <f t="shared" si="313"/>
        <v>OFF</v>
      </c>
      <c r="T2112" t="str">
        <f t="shared" si="313"/>
        <v>OFF</v>
      </c>
      <c r="U2112" t="str">
        <f t="shared" si="313"/>
        <v>OFF</v>
      </c>
      <c r="V2112" t="str">
        <f t="shared" si="314"/>
        <v>OFF</v>
      </c>
      <c r="W2112" t="str">
        <f t="shared" si="314"/>
        <v>OFF</v>
      </c>
      <c r="X2112" t="str">
        <f t="shared" si="314"/>
        <v>OFF</v>
      </c>
      <c r="Y2112" t="str">
        <f t="shared" si="314"/>
        <v>OFF</v>
      </c>
      <c r="Z2112" t="str">
        <f t="shared" si="314"/>
        <v>OFF</v>
      </c>
      <c r="AA2112" t="str">
        <f t="shared" si="314"/>
        <v>OFF</v>
      </c>
      <c r="AB2112" t="str">
        <f t="shared" si="314"/>
        <v>OFF</v>
      </c>
      <c r="AC2112" t="str">
        <f t="shared" si="314"/>
        <v>OFF</v>
      </c>
      <c r="AD2112" t="str">
        <f t="shared" si="314"/>
        <v>OFF</v>
      </c>
      <c r="AE2112" t="str">
        <f t="shared" si="314"/>
        <v>OFF</v>
      </c>
      <c r="AF2112" t="str">
        <f t="shared" si="314"/>
        <v>OFF</v>
      </c>
      <c r="AG2112" t="str">
        <f t="shared" si="314"/>
        <v>OFF</v>
      </c>
    </row>
    <row r="2113" spans="1:33">
      <c r="A2113" t="s">
        <v>2955</v>
      </c>
      <c r="B2113" t="str">
        <f t="shared" si="312"/>
        <v>OFF</v>
      </c>
      <c r="C2113" t="str">
        <f t="shared" si="312"/>
        <v>OFF</v>
      </c>
      <c r="D2113" t="str">
        <f t="shared" si="312"/>
        <v>OFF</v>
      </c>
      <c r="E2113" t="str">
        <f t="shared" si="312"/>
        <v>OFF</v>
      </c>
      <c r="F2113" t="str">
        <f t="shared" si="312"/>
        <v>OFF</v>
      </c>
      <c r="G2113" t="str">
        <f t="shared" si="312"/>
        <v>OFF</v>
      </c>
      <c r="H2113" t="str">
        <f t="shared" si="312"/>
        <v>OFF</v>
      </c>
      <c r="I2113" t="str">
        <f t="shared" si="312"/>
        <v>OFF</v>
      </c>
      <c r="J2113" t="str">
        <f t="shared" si="312"/>
        <v>OFF</v>
      </c>
      <c r="K2113" t="str">
        <f t="shared" si="312"/>
        <v>OFF</v>
      </c>
      <c r="L2113" t="str">
        <f t="shared" si="313"/>
        <v>OFF</v>
      </c>
      <c r="M2113" t="str">
        <f t="shared" si="313"/>
        <v>OFF</v>
      </c>
      <c r="N2113" t="str">
        <f t="shared" si="313"/>
        <v>OFF</v>
      </c>
      <c r="O2113" t="str">
        <f t="shared" si="313"/>
        <v>OFF</v>
      </c>
      <c r="P2113" t="str">
        <f t="shared" si="313"/>
        <v>OFF</v>
      </c>
      <c r="Q2113" t="str">
        <f t="shared" si="313"/>
        <v>OFF</v>
      </c>
      <c r="R2113" t="str">
        <f t="shared" si="313"/>
        <v>OFF</v>
      </c>
      <c r="S2113" t="str">
        <f t="shared" si="313"/>
        <v>OFF</v>
      </c>
      <c r="T2113" t="str">
        <f t="shared" si="313"/>
        <v>OFF</v>
      </c>
      <c r="U2113" t="str">
        <f t="shared" si="313"/>
        <v>OFF</v>
      </c>
      <c r="V2113" t="str">
        <f t="shared" si="314"/>
        <v>OFF</v>
      </c>
      <c r="W2113" t="str">
        <f t="shared" si="314"/>
        <v>OFF</v>
      </c>
      <c r="X2113" t="str">
        <f t="shared" si="314"/>
        <v>OFF</v>
      </c>
      <c r="Y2113" t="str">
        <f t="shared" si="314"/>
        <v>OFF</v>
      </c>
      <c r="Z2113" t="str">
        <f t="shared" si="314"/>
        <v>OFF</v>
      </c>
      <c r="AA2113" t="str">
        <f t="shared" si="314"/>
        <v>OFF</v>
      </c>
      <c r="AB2113" t="str">
        <f t="shared" si="314"/>
        <v>OFF</v>
      </c>
      <c r="AC2113" t="str">
        <f t="shared" si="314"/>
        <v>OFF</v>
      </c>
      <c r="AD2113" t="str">
        <f t="shared" si="314"/>
        <v>OFF</v>
      </c>
      <c r="AE2113" t="str">
        <f t="shared" si="314"/>
        <v>OFF</v>
      </c>
      <c r="AF2113" t="str">
        <f t="shared" si="314"/>
        <v>OFF</v>
      </c>
      <c r="AG2113" t="str">
        <f t="shared" si="314"/>
        <v>OFF</v>
      </c>
    </row>
    <row r="2114" spans="1:33">
      <c r="A2114" t="s">
        <v>2956</v>
      </c>
      <c r="B2114" t="str">
        <f t="shared" si="312"/>
        <v>OFF</v>
      </c>
      <c r="C2114" t="str">
        <f t="shared" si="312"/>
        <v>OFF</v>
      </c>
      <c r="D2114" t="str">
        <f t="shared" si="312"/>
        <v>OFF</v>
      </c>
      <c r="E2114" t="str">
        <f t="shared" si="312"/>
        <v>OFF</v>
      </c>
      <c r="F2114" t="str">
        <f t="shared" si="312"/>
        <v>OFF</v>
      </c>
      <c r="G2114" t="str">
        <f t="shared" si="312"/>
        <v>OFF</v>
      </c>
      <c r="H2114" t="str">
        <f t="shared" si="312"/>
        <v>OFF</v>
      </c>
      <c r="I2114" t="str">
        <f t="shared" si="312"/>
        <v>OFF</v>
      </c>
      <c r="J2114" t="str">
        <f t="shared" si="312"/>
        <v>OFF</v>
      </c>
      <c r="K2114" t="str">
        <f t="shared" si="312"/>
        <v>OFF</v>
      </c>
      <c r="L2114" t="str">
        <f t="shared" si="313"/>
        <v>OFF</v>
      </c>
      <c r="M2114" t="str">
        <f t="shared" si="313"/>
        <v>OFF</v>
      </c>
      <c r="N2114" t="str">
        <f t="shared" si="313"/>
        <v>OFF</v>
      </c>
      <c r="O2114" t="str">
        <f t="shared" si="313"/>
        <v>OFF</v>
      </c>
      <c r="P2114" t="str">
        <f t="shared" si="313"/>
        <v>OFF</v>
      </c>
      <c r="Q2114" t="str">
        <f t="shared" si="313"/>
        <v>OFF</v>
      </c>
      <c r="R2114" t="str">
        <f t="shared" si="313"/>
        <v>OFF</v>
      </c>
      <c r="S2114" t="str">
        <f t="shared" si="313"/>
        <v>OFF</v>
      </c>
      <c r="T2114" t="str">
        <f t="shared" si="313"/>
        <v>OFF</v>
      </c>
      <c r="U2114" t="str">
        <f t="shared" si="313"/>
        <v>OFF</v>
      </c>
      <c r="V2114" t="str">
        <f t="shared" si="314"/>
        <v>OFF</v>
      </c>
      <c r="W2114" t="str">
        <f t="shared" si="314"/>
        <v>OFF</v>
      </c>
      <c r="X2114" t="str">
        <f t="shared" si="314"/>
        <v>OFF</v>
      </c>
      <c r="Y2114" t="str">
        <f t="shared" si="314"/>
        <v>OFF</v>
      </c>
      <c r="Z2114" t="str">
        <f t="shared" si="314"/>
        <v>OFF</v>
      </c>
      <c r="AA2114" t="str">
        <f t="shared" si="314"/>
        <v>OFF</v>
      </c>
      <c r="AB2114" t="str">
        <f t="shared" si="314"/>
        <v>OFF</v>
      </c>
      <c r="AC2114" t="str">
        <f t="shared" si="314"/>
        <v>OFF</v>
      </c>
      <c r="AD2114" t="str">
        <f t="shared" si="314"/>
        <v>OFF</v>
      </c>
      <c r="AE2114" t="str">
        <f t="shared" si="314"/>
        <v>OFF</v>
      </c>
      <c r="AF2114" t="str">
        <f t="shared" si="314"/>
        <v>OFF</v>
      </c>
      <c r="AG2114" t="str">
        <f t="shared" si="314"/>
        <v>OFF</v>
      </c>
    </row>
    <row r="2115" spans="1:33">
      <c r="A2115" t="s">
        <v>2957</v>
      </c>
      <c r="B2115" t="str">
        <f t="shared" si="312"/>
        <v>OFF</v>
      </c>
      <c r="C2115" t="str">
        <f t="shared" si="312"/>
        <v>OFF</v>
      </c>
      <c r="D2115" t="str">
        <f t="shared" si="312"/>
        <v>OFF</v>
      </c>
      <c r="E2115" t="str">
        <f t="shared" si="312"/>
        <v>OFF</v>
      </c>
      <c r="F2115" t="str">
        <f t="shared" si="312"/>
        <v>OFF</v>
      </c>
      <c r="G2115" t="str">
        <f t="shared" si="312"/>
        <v>OFF</v>
      </c>
      <c r="H2115" t="str">
        <f t="shared" si="312"/>
        <v>OFF</v>
      </c>
      <c r="I2115" t="str">
        <f t="shared" si="312"/>
        <v>OFF</v>
      </c>
      <c r="J2115" t="str">
        <f t="shared" si="312"/>
        <v>OFF</v>
      </c>
      <c r="K2115" t="str">
        <f t="shared" si="312"/>
        <v>OFF</v>
      </c>
      <c r="L2115" t="str">
        <f t="shared" si="313"/>
        <v>OFF</v>
      </c>
      <c r="M2115" t="str">
        <f t="shared" si="313"/>
        <v>OFF</v>
      </c>
      <c r="N2115" t="str">
        <f t="shared" si="313"/>
        <v>OFF</v>
      </c>
      <c r="O2115" t="str">
        <f t="shared" si="313"/>
        <v>OFF</v>
      </c>
      <c r="P2115" t="str">
        <f t="shared" si="313"/>
        <v>OFF</v>
      </c>
      <c r="Q2115" t="str">
        <f t="shared" si="313"/>
        <v>OFF</v>
      </c>
      <c r="R2115" t="str">
        <f t="shared" si="313"/>
        <v>OFF</v>
      </c>
      <c r="S2115" t="str">
        <f t="shared" si="313"/>
        <v>OFF</v>
      </c>
      <c r="T2115" t="str">
        <f t="shared" si="313"/>
        <v>OFF</v>
      </c>
      <c r="U2115" t="str">
        <f t="shared" si="313"/>
        <v>OFF</v>
      </c>
      <c r="V2115" t="str">
        <f t="shared" si="314"/>
        <v>OFF</v>
      </c>
      <c r="W2115" t="str">
        <f t="shared" si="314"/>
        <v>OFF</v>
      </c>
      <c r="X2115" t="str">
        <f t="shared" si="314"/>
        <v>OFF</v>
      </c>
      <c r="Y2115" t="str">
        <f t="shared" si="314"/>
        <v>OFF</v>
      </c>
      <c r="Z2115" t="str">
        <f t="shared" si="314"/>
        <v>OFF</v>
      </c>
      <c r="AA2115" t="str">
        <f t="shared" si="314"/>
        <v>OFF</v>
      </c>
      <c r="AB2115" t="str">
        <f t="shared" si="314"/>
        <v>OFF</v>
      </c>
      <c r="AC2115" t="str">
        <f t="shared" si="314"/>
        <v>OFF</v>
      </c>
      <c r="AD2115" t="str">
        <f t="shared" si="314"/>
        <v>OFF</v>
      </c>
      <c r="AE2115" t="str">
        <f t="shared" si="314"/>
        <v>OFF</v>
      </c>
      <c r="AF2115" t="str">
        <f t="shared" si="314"/>
        <v>OFF</v>
      </c>
      <c r="AG2115" t="str">
        <f t="shared" si="314"/>
        <v>OFF</v>
      </c>
    </row>
    <row r="2116" spans="1:33">
      <c r="A2116" t="s">
        <v>2958</v>
      </c>
      <c r="B2116" t="str">
        <f t="shared" si="312"/>
        <v>OFF</v>
      </c>
      <c r="C2116" t="str">
        <f t="shared" si="312"/>
        <v>OFF</v>
      </c>
      <c r="D2116" t="str">
        <f t="shared" si="312"/>
        <v>OFF</v>
      </c>
      <c r="E2116" t="str">
        <f t="shared" si="312"/>
        <v>OFF</v>
      </c>
      <c r="F2116" t="str">
        <f t="shared" si="312"/>
        <v>OFF</v>
      </c>
      <c r="G2116" t="str">
        <f t="shared" si="312"/>
        <v>OFF</v>
      </c>
      <c r="H2116" t="str">
        <f t="shared" si="312"/>
        <v>OFF</v>
      </c>
      <c r="I2116" t="str">
        <f t="shared" si="312"/>
        <v>OFF</v>
      </c>
      <c r="J2116" t="str">
        <f t="shared" si="312"/>
        <v>OFF</v>
      </c>
      <c r="K2116" t="str">
        <f t="shared" si="312"/>
        <v>OFF</v>
      </c>
      <c r="L2116" t="str">
        <f t="shared" si="313"/>
        <v>OFF</v>
      </c>
      <c r="M2116" t="str">
        <f t="shared" si="313"/>
        <v>OFF</v>
      </c>
      <c r="N2116" t="str">
        <f t="shared" si="313"/>
        <v>OFF</v>
      </c>
      <c r="O2116" t="str">
        <f t="shared" si="313"/>
        <v>OFF</v>
      </c>
      <c r="P2116" t="str">
        <f t="shared" si="313"/>
        <v>OFF</v>
      </c>
      <c r="Q2116" t="str">
        <f t="shared" si="313"/>
        <v>OFF</v>
      </c>
      <c r="R2116" t="str">
        <f t="shared" si="313"/>
        <v>OFF</v>
      </c>
      <c r="S2116" t="str">
        <f t="shared" si="313"/>
        <v>OFF</v>
      </c>
      <c r="T2116" t="str">
        <f t="shared" si="313"/>
        <v>OFF</v>
      </c>
      <c r="U2116" t="str">
        <f t="shared" si="313"/>
        <v>OFF</v>
      </c>
      <c r="V2116" t="str">
        <f t="shared" si="314"/>
        <v>OFF</v>
      </c>
      <c r="W2116" t="str">
        <f t="shared" si="314"/>
        <v>OFF</v>
      </c>
      <c r="X2116" t="str">
        <f t="shared" si="314"/>
        <v>OFF</v>
      </c>
      <c r="Y2116" t="str">
        <f t="shared" si="314"/>
        <v>OFF</v>
      </c>
      <c r="Z2116" t="str">
        <f t="shared" si="314"/>
        <v>OFF</v>
      </c>
      <c r="AA2116" t="str">
        <f t="shared" si="314"/>
        <v>OFF</v>
      </c>
      <c r="AB2116" t="str">
        <f t="shared" si="314"/>
        <v>OFF</v>
      </c>
      <c r="AC2116" t="str">
        <f t="shared" si="314"/>
        <v>OFF</v>
      </c>
      <c r="AD2116" t="str">
        <f t="shared" si="314"/>
        <v>OFF</v>
      </c>
      <c r="AE2116" t="str">
        <f t="shared" si="314"/>
        <v>OFF</v>
      </c>
      <c r="AF2116" t="str">
        <f t="shared" si="314"/>
        <v>OFF</v>
      </c>
      <c r="AG2116" t="str">
        <f t="shared" si="314"/>
        <v>OFF</v>
      </c>
    </row>
    <row r="2117" spans="1:33">
      <c r="A2117" t="s">
        <v>2959</v>
      </c>
      <c r="B2117" t="str">
        <f t="shared" si="312"/>
        <v>OFF</v>
      </c>
      <c r="C2117" t="str">
        <f t="shared" si="312"/>
        <v>OFF</v>
      </c>
      <c r="D2117" t="str">
        <f t="shared" si="312"/>
        <v>OFF</v>
      </c>
      <c r="E2117" t="str">
        <f t="shared" si="312"/>
        <v>OFF</v>
      </c>
      <c r="F2117" t="str">
        <f t="shared" si="312"/>
        <v>OFF</v>
      </c>
      <c r="G2117" t="str">
        <f t="shared" si="312"/>
        <v>OFF</v>
      </c>
      <c r="H2117" t="str">
        <f t="shared" si="312"/>
        <v>OFF</v>
      </c>
      <c r="I2117" t="str">
        <f t="shared" si="312"/>
        <v>OFF</v>
      </c>
      <c r="J2117" t="str">
        <f t="shared" si="312"/>
        <v>OFF</v>
      </c>
      <c r="K2117" t="str">
        <f t="shared" si="312"/>
        <v>OFF</v>
      </c>
      <c r="L2117" t="str">
        <f t="shared" si="313"/>
        <v>OFF</v>
      </c>
      <c r="M2117" t="str">
        <f t="shared" si="313"/>
        <v>OFF</v>
      </c>
      <c r="N2117" t="str">
        <f t="shared" si="313"/>
        <v>OFF</v>
      </c>
      <c r="O2117" t="str">
        <f t="shared" si="313"/>
        <v>OFF</v>
      </c>
      <c r="P2117" t="str">
        <f t="shared" si="313"/>
        <v>OFF</v>
      </c>
      <c r="Q2117" t="str">
        <f t="shared" si="313"/>
        <v>OFF</v>
      </c>
      <c r="R2117" t="str">
        <f t="shared" si="313"/>
        <v>OFF</v>
      </c>
      <c r="S2117" t="str">
        <f t="shared" si="313"/>
        <v>OFF</v>
      </c>
      <c r="T2117" t="str">
        <f t="shared" si="313"/>
        <v>OFF</v>
      </c>
      <c r="U2117" t="str">
        <f t="shared" si="313"/>
        <v>OFF</v>
      </c>
      <c r="V2117" t="str">
        <f t="shared" si="314"/>
        <v>OFF</v>
      </c>
      <c r="W2117" t="str">
        <f t="shared" si="314"/>
        <v>OFF</v>
      </c>
      <c r="X2117" t="str">
        <f t="shared" si="314"/>
        <v>OFF</v>
      </c>
      <c r="Y2117" t="str">
        <f t="shared" si="314"/>
        <v>OFF</v>
      </c>
      <c r="Z2117" t="str">
        <f t="shared" si="314"/>
        <v>OFF</v>
      </c>
      <c r="AA2117" t="str">
        <f t="shared" si="314"/>
        <v>OFF</v>
      </c>
      <c r="AB2117" t="str">
        <f t="shared" si="314"/>
        <v>OFF</v>
      </c>
      <c r="AC2117" t="str">
        <f t="shared" si="314"/>
        <v>OFF</v>
      </c>
      <c r="AD2117" t="str">
        <f t="shared" si="314"/>
        <v>OFF</v>
      </c>
      <c r="AE2117" t="str">
        <f t="shared" si="314"/>
        <v>OFF</v>
      </c>
      <c r="AF2117" t="str">
        <f t="shared" si="314"/>
        <v>OFF</v>
      </c>
      <c r="AG2117" t="str">
        <f t="shared" si="314"/>
        <v>OFF</v>
      </c>
    </row>
    <row r="2118" spans="1:33">
      <c r="A2118" t="s">
        <v>2960</v>
      </c>
      <c r="B2118" t="str">
        <f t="shared" si="312"/>
        <v>OFF</v>
      </c>
      <c r="C2118" t="str">
        <f t="shared" si="312"/>
        <v>OFF</v>
      </c>
      <c r="D2118" t="str">
        <f t="shared" si="312"/>
        <v>OFF</v>
      </c>
      <c r="E2118" t="str">
        <f t="shared" si="312"/>
        <v>OFF</v>
      </c>
      <c r="F2118" t="str">
        <f t="shared" si="312"/>
        <v>OFF</v>
      </c>
      <c r="G2118" t="str">
        <f t="shared" si="312"/>
        <v>OFF</v>
      </c>
      <c r="H2118" t="str">
        <f t="shared" si="312"/>
        <v>OFF</v>
      </c>
      <c r="I2118" t="str">
        <f t="shared" si="312"/>
        <v>OFF</v>
      </c>
      <c r="J2118" t="str">
        <f t="shared" si="312"/>
        <v>OFF</v>
      </c>
      <c r="K2118" t="str">
        <f t="shared" si="312"/>
        <v>OFF</v>
      </c>
      <c r="L2118" t="str">
        <f t="shared" si="313"/>
        <v>OFF</v>
      </c>
      <c r="M2118" t="str">
        <f t="shared" si="313"/>
        <v>OFF</v>
      </c>
      <c r="N2118" t="str">
        <f t="shared" si="313"/>
        <v>OFF</v>
      </c>
      <c r="O2118" t="str">
        <f t="shared" si="313"/>
        <v>OFF</v>
      </c>
      <c r="P2118" t="str">
        <f t="shared" si="313"/>
        <v>OFF</v>
      </c>
      <c r="Q2118" t="str">
        <f t="shared" si="313"/>
        <v>OFF</v>
      </c>
      <c r="R2118" t="str">
        <f t="shared" si="313"/>
        <v>OFF</v>
      </c>
      <c r="S2118" t="str">
        <f t="shared" si="313"/>
        <v>OFF</v>
      </c>
      <c r="T2118" t="str">
        <f t="shared" si="313"/>
        <v>OFF</v>
      </c>
      <c r="U2118" t="str">
        <f t="shared" si="313"/>
        <v>OFF</v>
      </c>
      <c r="V2118" t="str">
        <f t="shared" si="314"/>
        <v>OFF</v>
      </c>
      <c r="W2118" t="str">
        <f t="shared" si="314"/>
        <v>OFF</v>
      </c>
      <c r="X2118" t="str">
        <f t="shared" si="314"/>
        <v>OFF</v>
      </c>
      <c r="Y2118" t="str">
        <f t="shared" si="314"/>
        <v>OFF</v>
      </c>
      <c r="Z2118" t="str">
        <f t="shared" si="314"/>
        <v>OFF</v>
      </c>
      <c r="AA2118" t="str">
        <f t="shared" si="314"/>
        <v>OFF</v>
      </c>
      <c r="AB2118" t="str">
        <f t="shared" si="314"/>
        <v>OFF</v>
      </c>
      <c r="AC2118" t="str">
        <f t="shared" si="314"/>
        <v>OFF</v>
      </c>
      <c r="AD2118" t="str">
        <f t="shared" si="314"/>
        <v>OFF</v>
      </c>
      <c r="AE2118" t="str">
        <f t="shared" si="314"/>
        <v>OFF</v>
      </c>
      <c r="AF2118" t="str">
        <f t="shared" si="314"/>
        <v>OFF</v>
      </c>
      <c r="AG2118" t="str">
        <f t="shared" si="314"/>
        <v>OFF</v>
      </c>
    </row>
    <row r="2119" spans="1:33">
      <c r="A2119" t="s">
        <v>2961</v>
      </c>
      <c r="B2119" t="str">
        <f t="shared" ref="B2119:K2128" si="315">"OFF"</f>
        <v>OFF</v>
      </c>
      <c r="C2119" t="str">
        <f t="shared" si="315"/>
        <v>OFF</v>
      </c>
      <c r="D2119" t="str">
        <f t="shared" si="315"/>
        <v>OFF</v>
      </c>
      <c r="E2119" t="str">
        <f t="shared" si="315"/>
        <v>OFF</v>
      </c>
      <c r="F2119" t="str">
        <f t="shared" si="315"/>
        <v>OFF</v>
      </c>
      <c r="G2119" t="str">
        <f t="shared" si="315"/>
        <v>OFF</v>
      </c>
      <c r="H2119" t="str">
        <f t="shared" si="315"/>
        <v>OFF</v>
      </c>
      <c r="I2119" t="str">
        <f t="shared" si="315"/>
        <v>OFF</v>
      </c>
      <c r="J2119" t="str">
        <f t="shared" si="315"/>
        <v>OFF</v>
      </c>
      <c r="K2119" t="str">
        <f t="shared" si="315"/>
        <v>OFF</v>
      </c>
      <c r="L2119" t="str">
        <f t="shared" ref="L2119:U2128" si="316">"OFF"</f>
        <v>OFF</v>
      </c>
      <c r="M2119" t="str">
        <f t="shared" si="316"/>
        <v>OFF</v>
      </c>
      <c r="N2119" t="str">
        <f t="shared" si="316"/>
        <v>OFF</v>
      </c>
      <c r="O2119" t="str">
        <f t="shared" si="316"/>
        <v>OFF</v>
      </c>
      <c r="P2119" t="str">
        <f t="shared" si="316"/>
        <v>OFF</v>
      </c>
      <c r="Q2119" t="str">
        <f t="shared" si="316"/>
        <v>OFF</v>
      </c>
      <c r="R2119" t="str">
        <f t="shared" si="316"/>
        <v>OFF</v>
      </c>
      <c r="S2119" t="str">
        <f t="shared" si="316"/>
        <v>OFF</v>
      </c>
      <c r="T2119" t="str">
        <f t="shared" si="316"/>
        <v>OFF</v>
      </c>
      <c r="U2119" t="str">
        <f t="shared" si="316"/>
        <v>OFF</v>
      </c>
      <c r="V2119" t="str">
        <f t="shared" ref="V2119:AG2128" si="317">"OFF"</f>
        <v>OFF</v>
      </c>
      <c r="W2119" t="str">
        <f t="shared" si="317"/>
        <v>OFF</v>
      </c>
      <c r="X2119" t="str">
        <f t="shared" si="317"/>
        <v>OFF</v>
      </c>
      <c r="Y2119" t="str">
        <f t="shared" si="317"/>
        <v>OFF</v>
      </c>
      <c r="Z2119" t="str">
        <f t="shared" si="317"/>
        <v>OFF</v>
      </c>
      <c r="AA2119" t="str">
        <f t="shared" si="317"/>
        <v>OFF</v>
      </c>
      <c r="AB2119" t="str">
        <f t="shared" si="317"/>
        <v>OFF</v>
      </c>
      <c r="AC2119" t="str">
        <f t="shared" si="317"/>
        <v>OFF</v>
      </c>
      <c r="AD2119" t="str">
        <f t="shared" si="317"/>
        <v>OFF</v>
      </c>
      <c r="AE2119" t="str">
        <f t="shared" si="317"/>
        <v>OFF</v>
      </c>
      <c r="AF2119" t="str">
        <f t="shared" si="317"/>
        <v>OFF</v>
      </c>
      <c r="AG2119" t="str">
        <f t="shared" si="317"/>
        <v>OFF</v>
      </c>
    </row>
    <row r="2120" spans="1:33">
      <c r="A2120" t="s">
        <v>2962</v>
      </c>
      <c r="B2120" t="str">
        <f t="shared" si="315"/>
        <v>OFF</v>
      </c>
      <c r="C2120" t="str">
        <f t="shared" si="315"/>
        <v>OFF</v>
      </c>
      <c r="D2120" t="str">
        <f t="shared" si="315"/>
        <v>OFF</v>
      </c>
      <c r="E2120" t="str">
        <f t="shared" si="315"/>
        <v>OFF</v>
      </c>
      <c r="F2120" t="str">
        <f t="shared" si="315"/>
        <v>OFF</v>
      </c>
      <c r="G2120" t="str">
        <f t="shared" si="315"/>
        <v>OFF</v>
      </c>
      <c r="H2120" t="str">
        <f t="shared" si="315"/>
        <v>OFF</v>
      </c>
      <c r="I2120" t="str">
        <f t="shared" si="315"/>
        <v>OFF</v>
      </c>
      <c r="J2120" t="str">
        <f t="shared" si="315"/>
        <v>OFF</v>
      </c>
      <c r="K2120" t="str">
        <f t="shared" si="315"/>
        <v>OFF</v>
      </c>
      <c r="L2120" t="str">
        <f t="shared" si="316"/>
        <v>OFF</v>
      </c>
      <c r="M2120" t="str">
        <f t="shared" si="316"/>
        <v>OFF</v>
      </c>
      <c r="N2120" t="str">
        <f t="shared" si="316"/>
        <v>OFF</v>
      </c>
      <c r="O2120" t="str">
        <f t="shared" si="316"/>
        <v>OFF</v>
      </c>
      <c r="P2120" t="str">
        <f t="shared" si="316"/>
        <v>OFF</v>
      </c>
      <c r="Q2120" t="str">
        <f t="shared" si="316"/>
        <v>OFF</v>
      </c>
      <c r="R2120" t="str">
        <f t="shared" si="316"/>
        <v>OFF</v>
      </c>
      <c r="S2120" t="str">
        <f t="shared" si="316"/>
        <v>OFF</v>
      </c>
      <c r="T2120" t="str">
        <f t="shared" si="316"/>
        <v>OFF</v>
      </c>
      <c r="U2120" t="str">
        <f t="shared" si="316"/>
        <v>OFF</v>
      </c>
      <c r="V2120" t="str">
        <f t="shared" si="317"/>
        <v>OFF</v>
      </c>
      <c r="W2120" t="str">
        <f t="shared" si="317"/>
        <v>OFF</v>
      </c>
      <c r="X2120" t="str">
        <f t="shared" si="317"/>
        <v>OFF</v>
      </c>
      <c r="Y2120" t="str">
        <f t="shared" si="317"/>
        <v>OFF</v>
      </c>
      <c r="Z2120" t="str">
        <f t="shared" si="317"/>
        <v>OFF</v>
      </c>
      <c r="AA2120" t="str">
        <f t="shared" si="317"/>
        <v>OFF</v>
      </c>
      <c r="AB2120" t="str">
        <f t="shared" si="317"/>
        <v>OFF</v>
      </c>
      <c r="AC2120" t="str">
        <f t="shared" si="317"/>
        <v>OFF</v>
      </c>
      <c r="AD2120" t="str">
        <f t="shared" si="317"/>
        <v>OFF</v>
      </c>
      <c r="AE2120" t="str">
        <f t="shared" si="317"/>
        <v>OFF</v>
      </c>
      <c r="AF2120" t="str">
        <f t="shared" si="317"/>
        <v>OFF</v>
      </c>
      <c r="AG2120" t="str">
        <f t="shared" si="317"/>
        <v>OFF</v>
      </c>
    </row>
    <row r="2121" spans="1:33">
      <c r="A2121" t="s">
        <v>2963</v>
      </c>
      <c r="B2121" t="str">
        <f t="shared" si="315"/>
        <v>OFF</v>
      </c>
      <c r="C2121" t="str">
        <f t="shared" si="315"/>
        <v>OFF</v>
      </c>
      <c r="D2121" t="str">
        <f t="shared" si="315"/>
        <v>OFF</v>
      </c>
      <c r="E2121" t="str">
        <f t="shared" si="315"/>
        <v>OFF</v>
      </c>
      <c r="F2121" t="str">
        <f t="shared" si="315"/>
        <v>OFF</v>
      </c>
      <c r="G2121" t="str">
        <f t="shared" si="315"/>
        <v>OFF</v>
      </c>
      <c r="H2121" t="str">
        <f t="shared" si="315"/>
        <v>OFF</v>
      </c>
      <c r="I2121" t="str">
        <f t="shared" si="315"/>
        <v>OFF</v>
      </c>
      <c r="J2121" t="str">
        <f t="shared" si="315"/>
        <v>OFF</v>
      </c>
      <c r="K2121" t="str">
        <f t="shared" si="315"/>
        <v>OFF</v>
      </c>
      <c r="L2121" t="str">
        <f t="shared" si="316"/>
        <v>OFF</v>
      </c>
      <c r="M2121" t="str">
        <f t="shared" si="316"/>
        <v>OFF</v>
      </c>
      <c r="N2121" t="str">
        <f t="shared" si="316"/>
        <v>OFF</v>
      </c>
      <c r="O2121" t="str">
        <f t="shared" si="316"/>
        <v>OFF</v>
      </c>
      <c r="P2121" t="str">
        <f t="shared" si="316"/>
        <v>OFF</v>
      </c>
      <c r="Q2121" t="str">
        <f t="shared" si="316"/>
        <v>OFF</v>
      </c>
      <c r="R2121" t="str">
        <f t="shared" si="316"/>
        <v>OFF</v>
      </c>
      <c r="S2121" t="str">
        <f t="shared" si="316"/>
        <v>OFF</v>
      </c>
      <c r="T2121" t="str">
        <f t="shared" si="316"/>
        <v>OFF</v>
      </c>
      <c r="U2121" t="str">
        <f t="shared" si="316"/>
        <v>OFF</v>
      </c>
      <c r="V2121" t="str">
        <f t="shared" si="317"/>
        <v>OFF</v>
      </c>
      <c r="W2121" t="str">
        <f t="shared" si="317"/>
        <v>OFF</v>
      </c>
      <c r="X2121" t="str">
        <f t="shared" si="317"/>
        <v>OFF</v>
      </c>
      <c r="Y2121" t="str">
        <f t="shared" si="317"/>
        <v>OFF</v>
      </c>
      <c r="Z2121" t="str">
        <f t="shared" si="317"/>
        <v>OFF</v>
      </c>
      <c r="AA2121" t="str">
        <f t="shared" si="317"/>
        <v>OFF</v>
      </c>
      <c r="AB2121" t="str">
        <f t="shared" si="317"/>
        <v>OFF</v>
      </c>
      <c r="AC2121" t="str">
        <f t="shared" si="317"/>
        <v>OFF</v>
      </c>
      <c r="AD2121" t="str">
        <f t="shared" si="317"/>
        <v>OFF</v>
      </c>
      <c r="AE2121" t="str">
        <f t="shared" si="317"/>
        <v>OFF</v>
      </c>
      <c r="AF2121" t="str">
        <f t="shared" si="317"/>
        <v>OFF</v>
      </c>
      <c r="AG2121" t="str">
        <f t="shared" si="317"/>
        <v>OFF</v>
      </c>
    </row>
    <row r="2122" spans="1:33">
      <c r="A2122" t="s">
        <v>2964</v>
      </c>
      <c r="B2122" t="str">
        <f t="shared" si="315"/>
        <v>OFF</v>
      </c>
      <c r="C2122" t="str">
        <f t="shared" si="315"/>
        <v>OFF</v>
      </c>
      <c r="D2122" t="str">
        <f t="shared" si="315"/>
        <v>OFF</v>
      </c>
      <c r="E2122" t="str">
        <f t="shared" si="315"/>
        <v>OFF</v>
      </c>
      <c r="F2122" t="str">
        <f t="shared" si="315"/>
        <v>OFF</v>
      </c>
      <c r="G2122" t="str">
        <f t="shared" si="315"/>
        <v>OFF</v>
      </c>
      <c r="H2122" t="str">
        <f t="shared" si="315"/>
        <v>OFF</v>
      </c>
      <c r="I2122" t="str">
        <f t="shared" si="315"/>
        <v>OFF</v>
      </c>
      <c r="J2122" t="str">
        <f t="shared" si="315"/>
        <v>OFF</v>
      </c>
      <c r="K2122" t="str">
        <f t="shared" si="315"/>
        <v>OFF</v>
      </c>
      <c r="L2122" t="str">
        <f t="shared" si="316"/>
        <v>OFF</v>
      </c>
      <c r="M2122" t="str">
        <f t="shared" si="316"/>
        <v>OFF</v>
      </c>
      <c r="N2122" t="str">
        <f t="shared" si="316"/>
        <v>OFF</v>
      </c>
      <c r="O2122" t="str">
        <f t="shared" si="316"/>
        <v>OFF</v>
      </c>
      <c r="P2122" t="str">
        <f t="shared" si="316"/>
        <v>OFF</v>
      </c>
      <c r="Q2122" t="str">
        <f t="shared" si="316"/>
        <v>OFF</v>
      </c>
      <c r="R2122" t="str">
        <f t="shared" si="316"/>
        <v>OFF</v>
      </c>
      <c r="S2122" t="str">
        <f t="shared" si="316"/>
        <v>OFF</v>
      </c>
      <c r="T2122" t="str">
        <f t="shared" si="316"/>
        <v>OFF</v>
      </c>
      <c r="U2122" t="str">
        <f t="shared" si="316"/>
        <v>OFF</v>
      </c>
      <c r="V2122" t="str">
        <f t="shared" si="317"/>
        <v>OFF</v>
      </c>
      <c r="W2122" t="str">
        <f t="shared" si="317"/>
        <v>OFF</v>
      </c>
      <c r="X2122" t="str">
        <f t="shared" si="317"/>
        <v>OFF</v>
      </c>
      <c r="Y2122" t="str">
        <f t="shared" si="317"/>
        <v>OFF</v>
      </c>
      <c r="Z2122" t="str">
        <f t="shared" si="317"/>
        <v>OFF</v>
      </c>
      <c r="AA2122" t="str">
        <f t="shared" si="317"/>
        <v>OFF</v>
      </c>
      <c r="AB2122" t="str">
        <f t="shared" si="317"/>
        <v>OFF</v>
      </c>
      <c r="AC2122" t="str">
        <f t="shared" si="317"/>
        <v>OFF</v>
      </c>
      <c r="AD2122" t="str">
        <f t="shared" si="317"/>
        <v>OFF</v>
      </c>
      <c r="AE2122" t="str">
        <f t="shared" si="317"/>
        <v>OFF</v>
      </c>
      <c r="AF2122" t="str">
        <f t="shared" si="317"/>
        <v>OFF</v>
      </c>
      <c r="AG2122" t="str">
        <f t="shared" si="317"/>
        <v>OFF</v>
      </c>
    </row>
    <row r="2123" spans="1:33">
      <c r="A2123" t="s">
        <v>2965</v>
      </c>
      <c r="B2123" t="str">
        <f t="shared" si="315"/>
        <v>OFF</v>
      </c>
      <c r="C2123" t="str">
        <f t="shared" si="315"/>
        <v>OFF</v>
      </c>
      <c r="D2123" t="str">
        <f t="shared" si="315"/>
        <v>OFF</v>
      </c>
      <c r="E2123" t="str">
        <f t="shared" si="315"/>
        <v>OFF</v>
      </c>
      <c r="F2123" t="str">
        <f t="shared" si="315"/>
        <v>OFF</v>
      </c>
      <c r="G2123" t="str">
        <f t="shared" si="315"/>
        <v>OFF</v>
      </c>
      <c r="H2123" t="str">
        <f t="shared" si="315"/>
        <v>OFF</v>
      </c>
      <c r="I2123" t="str">
        <f t="shared" si="315"/>
        <v>OFF</v>
      </c>
      <c r="J2123" t="str">
        <f t="shared" si="315"/>
        <v>OFF</v>
      </c>
      <c r="K2123" t="str">
        <f t="shared" si="315"/>
        <v>OFF</v>
      </c>
      <c r="L2123" t="str">
        <f t="shared" si="316"/>
        <v>OFF</v>
      </c>
      <c r="M2123" t="str">
        <f t="shared" si="316"/>
        <v>OFF</v>
      </c>
      <c r="N2123" t="str">
        <f t="shared" si="316"/>
        <v>OFF</v>
      </c>
      <c r="O2123" t="str">
        <f t="shared" si="316"/>
        <v>OFF</v>
      </c>
      <c r="P2123" t="str">
        <f t="shared" si="316"/>
        <v>OFF</v>
      </c>
      <c r="Q2123" t="str">
        <f t="shared" si="316"/>
        <v>OFF</v>
      </c>
      <c r="R2123" t="str">
        <f t="shared" si="316"/>
        <v>OFF</v>
      </c>
      <c r="S2123" t="str">
        <f t="shared" si="316"/>
        <v>OFF</v>
      </c>
      <c r="T2123" t="str">
        <f t="shared" si="316"/>
        <v>OFF</v>
      </c>
      <c r="U2123" t="str">
        <f t="shared" si="316"/>
        <v>OFF</v>
      </c>
      <c r="V2123" t="str">
        <f t="shared" si="317"/>
        <v>OFF</v>
      </c>
      <c r="W2123" t="str">
        <f t="shared" si="317"/>
        <v>OFF</v>
      </c>
      <c r="X2123" t="str">
        <f t="shared" si="317"/>
        <v>OFF</v>
      </c>
      <c r="Y2123" t="str">
        <f t="shared" si="317"/>
        <v>OFF</v>
      </c>
      <c r="Z2123" t="str">
        <f t="shared" si="317"/>
        <v>OFF</v>
      </c>
      <c r="AA2123" t="str">
        <f t="shared" si="317"/>
        <v>OFF</v>
      </c>
      <c r="AB2123" t="str">
        <f t="shared" si="317"/>
        <v>OFF</v>
      </c>
      <c r="AC2123" t="str">
        <f t="shared" si="317"/>
        <v>OFF</v>
      </c>
      <c r="AD2123" t="str">
        <f t="shared" si="317"/>
        <v>OFF</v>
      </c>
      <c r="AE2123" t="str">
        <f t="shared" si="317"/>
        <v>OFF</v>
      </c>
      <c r="AF2123" t="str">
        <f t="shared" si="317"/>
        <v>OFF</v>
      </c>
      <c r="AG2123" t="str">
        <f t="shared" si="317"/>
        <v>OFF</v>
      </c>
    </row>
    <row r="2124" spans="1:33">
      <c r="A2124" t="s">
        <v>2966</v>
      </c>
      <c r="B2124" t="str">
        <f t="shared" si="315"/>
        <v>OFF</v>
      </c>
      <c r="C2124" t="str">
        <f t="shared" si="315"/>
        <v>OFF</v>
      </c>
      <c r="D2124" t="str">
        <f t="shared" si="315"/>
        <v>OFF</v>
      </c>
      <c r="E2124" t="str">
        <f t="shared" si="315"/>
        <v>OFF</v>
      </c>
      <c r="F2124" t="str">
        <f t="shared" si="315"/>
        <v>OFF</v>
      </c>
      <c r="G2124" t="str">
        <f t="shared" si="315"/>
        <v>OFF</v>
      </c>
      <c r="H2124" t="str">
        <f t="shared" si="315"/>
        <v>OFF</v>
      </c>
      <c r="I2124" t="str">
        <f t="shared" si="315"/>
        <v>OFF</v>
      </c>
      <c r="J2124" t="str">
        <f t="shared" si="315"/>
        <v>OFF</v>
      </c>
      <c r="K2124" t="str">
        <f t="shared" si="315"/>
        <v>OFF</v>
      </c>
      <c r="L2124" t="str">
        <f t="shared" si="316"/>
        <v>OFF</v>
      </c>
      <c r="M2124" t="str">
        <f t="shared" si="316"/>
        <v>OFF</v>
      </c>
      <c r="N2124" t="str">
        <f t="shared" si="316"/>
        <v>OFF</v>
      </c>
      <c r="O2124" t="str">
        <f t="shared" si="316"/>
        <v>OFF</v>
      </c>
      <c r="P2124" t="str">
        <f t="shared" si="316"/>
        <v>OFF</v>
      </c>
      <c r="Q2124" t="str">
        <f t="shared" si="316"/>
        <v>OFF</v>
      </c>
      <c r="R2124" t="str">
        <f t="shared" si="316"/>
        <v>OFF</v>
      </c>
      <c r="S2124" t="str">
        <f t="shared" si="316"/>
        <v>OFF</v>
      </c>
      <c r="T2124" t="str">
        <f t="shared" si="316"/>
        <v>OFF</v>
      </c>
      <c r="U2124" t="str">
        <f t="shared" si="316"/>
        <v>OFF</v>
      </c>
      <c r="V2124" t="str">
        <f t="shared" si="317"/>
        <v>OFF</v>
      </c>
      <c r="W2124" t="str">
        <f t="shared" si="317"/>
        <v>OFF</v>
      </c>
      <c r="X2124" t="str">
        <f t="shared" si="317"/>
        <v>OFF</v>
      </c>
      <c r="Y2124" t="str">
        <f t="shared" si="317"/>
        <v>OFF</v>
      </c>
      <c r="Z2124" t="str">
        <f t="shared" si="317"/>
        <v>OFF</v>
      </c>
      <c r="AA2124" t="str">
        <f t="shared" si="317"/>
        <v>OFF</v>
      </c>
      <c r="AB2124" t="str">
        <f t="shared" si="317"/>
        <v>OFF</v>
      </c>
      <c r="AC2124" t="str">
        <f t="shared" si="317"/>
        <v>OFF</v>
      </c>
      <c r="AD2124" t="str">
        <f t="shared" si="317"/>
        <v>OFF</v>
      </c>
      <c r="AE2124" t="str">
        <f t="shared" si="317"/>
        <v>OFF</v>
      </c>
      <c r="AF2124" t="str">
        <f t="shared" si="317"/>
        <v>OFF</v>
      </c>
      <c r="AG2124" t="str">
        <f t="shared" si="317"/>
        <v>OFF</v>
      </c>
    </row>
    <row r="2125" spans="1:33">
      <c r="A2125" t="s">
        <v>2967</v>
      </c>
      <c r="B2125" t="str">
        <f t="shared" si="315"/>
        <v>OFF</v>
      </c>
      <c r="C2125" t="str">
        <f t="shared" si="315"/>
        <v>OFF</v>
      </c>
      <c r="D2125" t="str">
        <f t="shared" si="315"/>
        <v>OFF</v>
      </c>
      <c r="E2125" t="str">
        <f t="shared" si="315"/>
        <v>OFF</v>
      </c>
      <c r="F2125" t="str">
        <f t="shared" si="315"/>
        <v>OFF</v>
      </c>
      <c r="G2125" t="str">
        <f t="shared" si="315"/>
        <v>OFF</v>
      </c>
      <c r="H2125" t="str">
        <f t="shared" si="315"/>
        <v>OFF</v>
      </c>
      <c r="I2125" t="str">
        <f t="shared" si="315"/>
        <v>OFF</v>
      </c>
      <c r="J2125" t="str">
        <f t="shared" si="315"/>
        <v>OFF</v>
      </c>
      <c r="K2125" t="str">
        <f t="shared" si="315"/>
        <v>OFF</v>
      </c>
      <c r="L2125" t="str">
        <f t="shared" si="316"/>
        <v>OFF</v>
      </c>
      <c r="M2125" t="str">
        <f t="shared" si="316"/>
        <v>OFF</v>
      </c>
      <c r="N2125" t="str">
        <f t="shared" si="316"/>
        <v>OFF</v>
      </c>
      <c r="O2125" t="str">
        <f t="shared" si="316"/>
        <v>OFF</v>
      </c>
      <c r="P2125" t="str">
        <f t="shared" si="316"/>
        <v>OFF</v>
      </c>
      <c r="Q2125" t="str">
        <f t="shared" si="316"/>
        <v>OFF</v>
      </c>
      <c r="R2125" t="str">
        <f t="shared" si="316"/>
        <v>OFF</v>
      </c>
      <c r="S2125" t="str">
        <f t="shared" si="316"/>
        <v>OFF</v>
      </c>
      <c r="T2125" t="str">
        <f t="shared" si="316"/>
        <v>OFF</v>
      </c>
      <c r="U2125" t="str">
        <f t="shared" si="316"/>
        <v>OFF</v>
      </c>
      <c r="V2125" t="str">
        <f t="shared" si="317"/>
        <v>OFF</v>
      </c>
      <c r="W2125" t="str">
        <f t="shared" si="317"/>
        <v>OFF</v>
      </c>
      <c r="X2125" t="str">
        <f t="shared" si="317"/>
        <v>OFF</v>
      </c>
      <c r="Y2125" t="str">
        <f t="shared" si="317"/>
        <v>OFF</v>
      </c>
      <c r="Z2125" t="str">
        <f t="shared" si="317"/>
        <v>OFF</v>
      </c>
      <c r="AA2125" t="str">
        <f t="shared" si="317"/>
        <v>OFF</v>
      </c>
      <c r="AB2125" t="str">
        <f t="shared" si="317"/>
        <v>OFF</v>
      </c>
      <c r="AC2125" t="str">
        <f t="shared" si="317"/>
        <v>OFF</v>
      </c>
      <c r="AD2125" t="str">
        <f t="shared" si="317"/>
        <v>OFF</v>
      </c>
      <c r="AE2125" t="str">
        <f t="shared" si="317"/>
        <v>OFF</v>
      </c>
      <c r="AF2125" t="str">
        <f t="shared" si="317"/>
        <v>OFF</v>
      </c>
      <c r="AG2125" t="str">
        <f t="shared" si="317"/>
        <v>OFF</v>
      </c>
    </row>
    <row r="2126" spans="1:33">
      <c r="A2126" t="s">
        <v>2968</v>
      </c>
      <c r="B2126" t="str">
        <f t="shared" si="315"/>
        <v>OFF</v>
      </c>
      <c r="C2126" t="str">
        <f t="shared" si="315"/>
        <v>OFF</v>
      </c>
      <c r="D2126" t="str">
        <f t="shared" si="315"/>
        <v>OFF</v>
      </c>
      <c r="E2126" t="str">
        <f t="shared" si="315"/>
        <v>OFF</v>
      </c>
      <c r="F2126" t="str">
        <f t="shared" si="315"/>
        <v>OFF</v>
      </c>
      <c r="G2126" t="str">
        <f t="shared" si="315"/>
        <v>OFF</v>
      </c>
      <c r="H2126" t="str">
        <f t="shared" si="315"/>
        <v>OFF</v>
      </c>
      <c r="I2126" t="str">
        <f t="shared" si="315"/>
        <v>OFF</v>
      </c>
      <c r="J2126" t="str">
        <f t="shared" si="315"/>
        <v>OFF</v>
      </c>
      <c r="K2126" t="str">
        <f t="shared" si="315"/>
        <v>OFF</v>
      </c>
      <c r="L2126" t="str">
        <f t="shared" si="316"/>
        <v>OFF</v>
      </c>
      <c r="M2126" t="str">
        <f t="shared" si="316"/>
        <v>OFF</v>
      </c>
      <c r="N2126" t="str">
        <f t="shared" si="316"/>
        <v>OFF</v>
      </c>
      <c r="O2126" t="str">
        <f t="shared" si="316"/>
        <v>OFF</v>
      </c>
      <c r="P2126" t="str">
        <f t="shared" si="316"/>
        <v>OFF</v>
      </c>
      <c r="Q2126" t="str">
        <f t="shared" si="316"/>
        <v>OFF</v>
      </c>
      <c r="R2126" t="str">
        <f t="shared" si="316"/>
        <v>OFF</v>
      </c>
      <c r="S2126" t="str">
        <f t="shared" si="316"/>
        <v>OFF</v>
      </c>
      <c r="T2126" t="str">
        <f t="shared" si="316"/>
        <v>OFF</v>
      </c>
      <c r="U2126" t="str">
        <f t="shared" si="316"/>
        <v>OFF</v>
      </c>
      <c r="V2126" t="str">
        <f t="shared" si="317"/>
        <v>OFF</v>
      </c>
      <c r="W2126" t="str">
        <f t="shared" si="317"/>
        <v>OFF</v>
      </c>
      <c r="X2126" t="str">
        <f t="shared" si="317"/>
        <v>OFF</v>
      </c>
      <c r="Y2126" t="str">
        <f t="shared" si="317"/>
        <v>OFF</v>
      </c>
      <c r="Z2126" t="str">
        <f t="shared" si="317"/>
        <v>OFF</v>
      </c>
      <c r="AA2126" t="str">
        <f t="shared" si="317"/>
        <v>OFF</v>
      </c>
      <c r="AB2126" t="str">
        <f t="shared" si="317"/>
        <v>OFF</v>
      </c>
      <c r="AC2126" t="str">
        <f t="shared" si="317"/>
        <v>OFF</v>
      </c>
      <c r="AD2126" t="str">
        <f t="shared" si="317"/>
        <v>OFF</v>
      </c>
      <c r="AE2126" t="str">
        <f t="shared" si="317"/>
        <v>OFF</v>
      </c>
      <c r="AF2126" t="str">
        <f t="shared" si="317"/>
        <v>OFF</v>
      </c>
      <c r="AG2126" t="str">
        <f t="shared" si="317"/>
        <v>OFF</v>
      </c>
    </row>
    <row r="2127" spans="1:33">
      <c r="A2127" t="s">
        <v>2969</v>
      </c>
      <c r="B2127" t="str">
        <f t="shared" si="315"/>
        <v>OFF</v>
      </c>
      <c r="C2127" t="str">
        <f t="shared" si="315"/>
        <v>OFF</v>
      </c>
      <c r="D2127" t="str">
        <f t="shared" si="315"/>
        <v>OFF</v>
      </c>
      <c r="E2127" t="str">
        <f t="shared" si="315"/>
        <v>OFF</v>
      </c>
      <c r="F2127" t="str">
        <f t="shared" si="315"/>
        <v>OFF</v>
      </c>
      <c r="G2127" t="str">
        <f t="shared" si="315"/>
        <v>OFF</v>
      </c>
      <c r="H2127" t="str">
        <f t="shared" si="315"/>
        <v>OFF</v>
      </c>
      <c r="I2127" t="str">
        <f t="shared" si="315"/>
        <v>OFF</v>
      </c>
      <c r="J2127" t="str">
        <f t="shared" si="315"/>
        <v>OFF</v>
      </c>
      <c r="K2127" t="str">
        <f t="shared" si="315"/>
        <v>OFF</v>
      </c>
      <c r="L2127" t="str">
        <f t="shared" si="316"/>
        <v>OFF</v>
      </c>
      <c r="M2127" t="str">
        <f t="shared" si="316"/>
        <v>OFF</v>
      </c>
      <c r="N2127" t="str">
        <f t="shared" si="316"/>
        <v>OFF</v>
      </c>
      <c r="O2127" t="str">
        <f t="shared" si="316"/>
        <v>OFF</v>
      </c>
      <c r="P2127" t="str">
        <f t="shared" si="316"/>
        <v>OFF</v>
      </c>
      <c r="Q2127" t="str">
        <f t="shared" si="316"/>
        <v>OFF</v>
      </c>
      <c r="R2127" t="str">
        <f t="shared" si="316"/>
        <v>OFF</v>
      </c>
      <c r="S2127" t="str">
        <f t="shared" si="316"/>
        <v>OFF</v>
      </c>
      <c r="T2127" t="str">
        <f t="shared" si="316"/>
        <v>OFF</v>
      </c>
      <c r="U2127" t="str">
        <f t="shared" si="316"/>
        <v>OFF</v>
      </c>
      <c r="V2127" t="str">
        <f t="shared" si="317"/>
        <v>OFF</v>
      </c>
      <c r="W2127" t="str">
        <f t="shared" si="317"/>
        <v>OFF</v>
      </c>
      <c r="X2127" t="str">
        <f t="shared" si="317"/>
        <v>OFF</v>
      </c>
      <c r="Y2127" t="str">
        <f t="shared" si="317"/>
        <v>OFF</v>
      </c>
      <c r="Z2127" t="str">
        <f t="shared" si="317"/>
        <v>OFF</v>
      </c>
      <c r="AA2127" t="str">
        <f t="shared" si="317"/>
        <v>OFF</v>
      </c>
      <c r="AB2127" t="str">
        <f t="shared" si="317"/>
        <v>OFF</v>
      </c>
      <c r="AC2127" t="str">
        <f t="shared" si="317"/>
        <v>OFF</v>
      </c>
      <c r="AD2127" t="str">
        <f t="shared" si="317"/>
        <v>OFF</v>
      </c>
      <c r="AE2127" t="str">
        <f t="shared" si="317"/>
        <v>OFF</v>
      </c>
      <c r="AF2127" t="str">
        <f t="shared" si="317"/>
        <v>OFF</v>
      </c>
      <c r="AG2127" t="str">
        <f t="shared" si="317"/>
        <v>OFF</v>
      </c>
    </row>
    <row r="2128" spans="1:33">
      <c r="A2128" t="s">
        <v>2970</v>
      </c>
      <c r="B2128" t="str">
        <f t="shared" si="315"/>
        <v>OFF</v>
      </c>
      <c r="C2128" t="str">
        <f t="shared" si="315"/>
        <v>OFF</v>
      </c>
      <c r="D2128" t="str">
        <f t="shared" si="315"/>
        <v>OFF</v>
      </c>
      <c r="E2128" t="str">
        <f t="shared" si="315"/>
        <v>OFF</v>
      </c>
      <c r="F2128" t="str">
        <f t="shared" si="315"/>
        <v>OFF</v>
      </c>
      <c r="G2128" t="str">
        <f t="shared" si="315"/>
        <v>OFF</v>
      </c>
      <c r="H2128" t="str">
        <f t="shared" si="315"/>
        <v>OFF</v>
      </c>
      <c r="I2128" t="str">
        <f t="shared" si="315"/>
        <v>OFF</v>
      </c>
      <c r="J2128" t="str">
        <f t="shared" si="315"/>
        <v>OFF</v>
      </c>
      <c r="K2128" t="str">
        <f t="shared" si="315"/>
        <v>OFF</v>
      </c>
      <c r="L2128" t="str">
        <f t="shared" si="316"/>
        <v>OFF</v>
      </c>
      <c r="M2128" t="str">
        <f t="shared" si="316"/>
        <v>OFF</v>
      </c>
      <c r="N2128" t="str">
        <f t="shared" si="316"/>
        <v>OFF</v>
      </c>
      <c r="O2128" t="str">
        <f t="shared" si="316"/>
        <v>OFF</v>
      </c>
      <c r="P2128" t="str">
        <f t="shared" si="316"/>
        <v>OFF</v>
      </c>
      <c r="Q2128" t="str">
        <f t="shared" si="316"/>
        <v>OFF</v>
      </c>
      <c r="R2128" t="str">
        <f t="shared" si="316"/>
        <v>OFF</v>
      </c>
      <c r="S2128" t="str">
        <f t="shared" si="316"/>
        <v>OFF</v>
      </c>
      <c r="T2128" t="str">
        <f t="shared" si="316"/>
        <v>OFF</v>
      </c>
      <c r="U2128" t="str">
        <f t="shared" si="316"/>
        <v>OFF</v>
      </c>
      <c r="V2128" t="str">
        <f t="shared" si="317"/>
        <v>OFF</v>
      </c>
      <c r="W2128" t="str">
        <f t="shared" si="317"/>
        <v>OFF</v>
      </c>
      <c r="X2128" t="str">
        <f t="shared" si="317"/>
        <v>OFF</v>
      </c>
      <c r="Y2128" t="str">
        <f t="shared" si="317"/>
        <v>OFF</v>
      </c>
      <c r="Z2128" t="str">
        <f t="shared" si="317"/>
        <v>OFF</v>
      </c>
      <c r="AA2128" t="str">
        <f t="shared" si="317"/>
        <v>OFF</v>
      </c>
      <c r="AB2128" t="str">
        <f t="shared" si="317"/>
        <v>OFF</v>
      </c>
      <c r="AC2128" t="str">
        <f t="shared" si="317"/>
        <v>OFF</v>
      </c>
      <c r="AD2128" t="str">
        <f t="shared" si="317"/>
        <v>OFF</v>
      </c>
      <c r="AE2128" t="str">
        <f t="shared" si="317"/>
        <v>OFF</v>
      </c>
      <c r="AF2128" t="str">
        <f t="shared" si="317"/>
        <v>OFF</v>
      </c>
      <c r="AG2128" t="str">
        <f t="shared" si="317"/>
        <v>OFF</v>
      </c>
    </row>
    <row r="2129" spans="1:33">
      <c r="A2129" t="s">
        <v>2971</v>
      </c>
      <c r="B2129" t="str">
        <f t="shared" ref="B2129:K2138" si="318">"OFF"</f>
        <v>OFF</v>
      </c>
      <c r="C2129" t="str">
        <f t="shared" si="318"/>
        <v>OFF</v>
      </c>
      <c r="D2129" t="str">
        <f t="shared" si="318"/>
        <v>OFF</v>
      </c>
      <c r="E2129" t="str">
        <f t="shared" si="318"/>
        <v>OFF</v>
      </c>
      <c r="F2129" t="str">
        <f t="shared" si="318"/>
        <v>OFF</v>
      </c>
      <c r="G2129" t="str">
        <f t="shared" si="318"/>
        <v>OFF</v>
      </c>
      <c r="H2129" t="str">
        <f t="shared" si="318"/>
        <v>OFF</v>
      </c>
      <c r="I2129" t="str">
        <f t="shared" si="318"/>
        <v>OFF</v>
      </c>
      <c r="J2129" t="str">
        <f t="shared" si="318"/>
        <v>OFF</v>
      </c>
      <c r="K2129" t="str">
        <f t="shared" si="318"/>
        <v>OFF</v>
      </c>
      <c r="L2129" t="str">
        <f t="shared" ref="L2129:U2138" si="319">"OFF"</f>
        <v>OFF</v>
      </c>
      <c r="M2129" t="str">
        <f t="shared" si="319"/>
        <v>OFF</v>
      </c>
      <c r="N2129" t="str">
        <f t="shared" si="319"/>
        <v>OFF</v>
      </c>
      <c r="O2129" t="str">
        <f t="shared" si="319"/>
        <v>OFF</v>
      </c>
      <c r="P2129" t="str">
        <f t="shared" si="319"/>
        <v>OFF</v>
      </c>
      <c r="Q2129" t="str">
        <f t="shared" si="319"/>
        <v>OFF</v>
      </c>
      <c r="R2129" t="str">
        <f t="shared" si="319"/>
        <v>OFF</v>
      </c>
      <c r="S2129" t="str">
        <f t="shared" si="319"/>
        <v>OFF</v>
      </c>
      <c r="T2129" t="str">
        <f t="shared" si="319"/>
        <v>OFF</v>
      </c>
      <c r="U2129" t="str">
        <f t="shared" si="319"/>
        <v>OFF</v>
      </c>
      <c r="V2129" t="str">
        <f t="shared" ref="V2129:AG2138" si="320">"OFF"</f>
        <v>OFF</v>
      </c>
      <c r="W2129" t="str">
        <f t="shared" si="320"/>
        <v>OFF</v>
      </c>
      <c r="X2129" t="str">
        <f t="shared" si="320"/>
        <v>OFF</v>
      </c>
      <c r="Y2129" t="str">
        <f t="shared" si="320"/>
        <v>OFF</v>
      </c>
      <c r="Z2129" t="str">
        <f t="shared" si="320"/>
        <v>OFF</v>
      </c>
      <c r="AA2129" t="str">
        <f t="shared" si="320"/>
        <v>OFF</v>
      </c>
      <c r="AB2129" t="str">
        <f t="shared" si="320"/>
        <v>OFF</v>
      </c>
      <c r="AC2129" t="str">
        <f t="shared" si="320"/>
        <v>OFF</v>
      </c>
      <c r="AD2129" t="str">
        <f t="shared" si="320"/>
        <v>OFF</v>
      </c>
      <c r="AE2129" t="str">
        <f t="shared" si="320"/>
        <v>OFF</v>
      </c>
      <c r="AF2129" t="str">
        <f t="shared" si="320"/>
        <v>OFF</v>
      </c>
      <c r="AG2129" t="str">
        <f t="shared" si="320"/>
        <v>OFF</v>
      </c>
    </row>
    <row r="2130" spans="1:33">
      <c r="A2130" t="s">
        <v>2972</v>
      </c>
      <c r="B2130" t="str">
        <f t="shared" si="318"/>
        <v>OFF</v>
      </c>
      <c r="C2130" t="str">
        <f t="shared" si="318"/>
        <v>OFF</v>
      </c>
      <c r="D2130" t="str">
        <f t="shared" si="318"/>
        <v>OFF</v>
      </c>
      <c r="E2130" t="str">
        <f t="shared" si="318"/>
        <v>OFF</v>
      </c>
      <c r="F2130" t="str">
        <f t="shared" si="318"/>
        <v>OFF</v>
      </c>
      <c r="G2130" t="str">
        <f t="shared" si="318"/>
        <v>OFF</v>
      </c>
      <c r="H2130" t="str">
        <f t="shared" si="318"/>
        <v>OFF</v>
      </c>
      <c r="I2130" t="str">
        <f t="shared" si="318"/>
        <v>OFF</v>
      </c>
      <c r="J2130" t="str">
        <f t="shared" si="318"/>
        <v>OFF</v>
      </c>
      <c r="K2130" t="str">
        <f t="shared" si="318"/>
        <v>OFF</v>
      </c>
      <c r="L2130" t="str">
        <f t="shared" si="319"/>
        <v>OFF</v>
      </c>
      <c r="M2130" t="str">
        <f t="shared" si="319"/>
        <v>OFF</v>
      </c>
      <c r="N2130" t="str">
        <f t="shared" si="319"/>
        <v>OFF</v>
      </c>
      <c r="O2130" t="str">
        <f t="shared" si="319"/>
        <v>OFF</v>
      </c>
      <c r="P2130" t="str">
        <f t="shared" si="319"/>
        <v>OFF</v>
      </c>
      <c r="Q2130" t="str">
        <f t="shared" si="319"/>
        <v>OFF</v>
      </c>
      <c r="R2130" t="str">
        <f t="shared" si="319"/>
        <v>OFF</v>
      </c>
      <c r="S2130" t="str">
        <f t="shared" si="319"/>
        <v>OFF</v>
      </c>
      <c r="T2130" t="str">
        <f t="shared" si="319"/>
        <v>OFF</v>
      </c>
      <c r="U2130" t="str">
        <f t="shared" si="319"/>
        <v>OFF</v>
      </c>
      <c r="V2130" t="str">
        <f t="shared" si="320"/>
        <v>OFF</v>
      </c>
      <c r="W2130" t="str">
        <f t="shared" si="320"/>
        <v>OFF</v>
      </c>
      <c r="X2130" t="str">
        <f t="shared" si="320"/>
        <v>OFF</v>
      </c>
      <c r="Y2130" t="str">
        <f t="shared" si="320"/>
        <v>OFF</v>
      </c>
      <c r="Z2130" t="str">
        <f t="shared" si="320"/>
        <v>OFF</v>
      </c>
      <c r="AA2130" t="str">
        <f t="shared" si="320"/>
        <v>OFF</v>
      </c>
      <c r="AB2130" t="str">
        <f t="shared" si="320"/>
        <v>OFF</v>
      </c>
      <c r="AC2130" t="str">
        <f t="shared" si="320"/>
        <v>OFF</v>
      </c>
      <c r="AD2130" t="str">
        <f t="shared" si="320"/>
        <v>OFF</v>
      </c>
      <c r="AE2130" t="str">
        <f t="shared" si="320"/>
        <v>OFF</v>
      </c>
      <c r="AF2130" t="str">
        <f t="shared" si="320"/>
        <v>OFF</v>
      </c>
      <c r="AG2130" t="str">
        <f t="shared" si="320"/>
        <v>OFF</v>
      </c>
    </row>
    <row r="2131" spans="1:33">
      <c r="A2131" t="s">
        <v>2973</v>
      </c>
      <c r="B2131" t="str">
        <f t="shared" si="318"/>
        <v>OFF</v>
      </c>
      <c r="C2131" t="str">
        <f t="shared" si="318"/>
        <v>OFF</v>
      </c>
      <c r="D2131" t="str">
        <f t="shared" si="318"/>
        <v>OFF</v>
      </c>
      <c r="E2131" t="str">
        <f t="shared" si="318"/>
        <v>OFF</v>
      </c>
      <c r="F2131" t="str">
        <f t="shared" si="318"/>
        <v>OFF</v>
      </c>
      <c r="G2131" t="str">
        <f t="shared" si="318"/>
        <v>OFF</v>
      </c>
      <c r="H2131" t="str">
        <f t="shared" si="318"/>
        <v>OFF</v>
      </c>
      <c r="I2131" t="str">
        <f t="shared" si="318"/>
        <v>OFF</v>
      </c>
      <c r="J2131" t="str">
        <f t="shared" si="318"/>
        <v>OFF</v>
      </c>
      <c r="K2131" t="str">
        <f t="shared" si="318"/>
        <v>OFF</v>
      </c>
      <c r="L2131" t="str">
        <f t="shared" si="319"/>
        <v>OFF</v>
      </c>
      <c r="M2131" t="str">
        <f t="shared" si="319"/>
        <v>OFF</v>
      </c>
      <c r="N2131" t="str">
        <f t="shared" si="319"/>
        <v>OFF</v>
      </c>
      <c r="O2131" t="str">
        <f t="shared" si="319"/>
        <v>OFF</v>
      </c>
      <c r="P2131" t="str">
        <f t="shared" si="319"/>
        <v>OFF</v>
      </c>
      <c r="Q2131" t="str">
        <f t="shared" si="319"/>
        <v>OFF</v>
      </c>
      <c r="R2131" t="str">
        <f t="shared" si="319"/>
        <v>OFF</v>
      </c>
      <c r="S2131" t="str">
        <f t="shared" si="319"/>
        <v>OFF</v>
      </c>
      <c r="T2131" t="str">
        <f t="shared" si="319"/>
        <v>OFF</v>
      </c>
      <c r="U2131" t="str">
        <f t="shared" si="319"/>
        <v>OFF</v>
      </c>
      <c r="V2131" t="str">
        <f t="shared" si="320"/>
        <v>OFF</v>
      </c>
      <c r="W2131" t="str">
        <f t="shared" si="320"/>
        <v>OFF</v>
      </c>
      <c r="X2131" t="str">
        <f t="shared" si="320"/>
        <v>OFF</v>
      </c>
      <c r="Y2131" t="str">
        <f t="shared" si="320"/>
        <v>OFF</v>
      </c>
      <c r="Z2131" t="str">
        <f t="shared" si="320"/>
        <v>OFF</v>
      </c>
      <c r="AA2131" t="str">
        <f t="shared" si="320"/>
        <v>OFF</v>
      </c>
      <c r="AB2131" t="str">
        <f t="shared" si="320"/>
        <v>OFF</v>
      </c>
      <c r="AC2131" t="str">
        <f t="shared" si="320"/>
        <v>OFF</v>
      </c>
      <c r="AD2131" t="str">
        <f t="shared" si="320"/>
        <v>OFF</v>
      </c>
      <c r="AE2131" t="str">
        <f t="shared" si="320"/>
        <v>OFF</v>
      </c>
      <c r="AF2131" t="str">
        <f t="shared" si="320"/>
        <v>OFF</v>
      </c>
      <c r="AG2131" t="str">
        <f t="shared" si="320"/>
        <v>OFF</v>
      </c>
    </row>
    <row r="2132" spans="1:33">
      <c r="A2132" t="s">
        <v>2974</v>
      </c>
      <c r="B2132" t="str">
        <f t="shared" si="318"/>
        <v>OFF</v>
      </c>
      <c r="C2132" t="str">
        <f t="shared" si="318"/>
        <v>OFF</v>
      </c>
      <c r="D2132" t="str">
        <f t="shared" si="318"/>
        <v>OFF</v>
      </c>
      <c r="E2132" t="str">
        <f t="shared" si="318"/>
        <v>OFF</v>
      </c>
      <c r="F2132" t="str">
        <f t="shared" si="318"/>
        <v>OFF</v>
      </c>
      <c r="G2132" t="str">
        <f t="shared" si="318"/>
        <v>OFF</v>
      </c>
      <c r="H2132" t="str">
        <f t="shared" si="318"/>
        <v>OFF</v>
      </c>
      <c r="I2132" t="str">
        <f t="shared" si="318"/>
        <v>OFF</v>
      </c>
      <c r="J2132" t="str">
        <f t="shared" si="318"/>
        <v>OFF</v>
      </c>
      <c r="K2132" t="str">
        <f t="shared" si="318"/>
        <v>OFF</v>
      </c>
      <c r="L2132" t="str">
        <f t="shared" si="319"/>
        <v>OFF</v>
      </c>
      <c r="M2132" t="str">
        <f t="shared" si="319"/>
        <v>OFF</v>
      </c>
      <c r="N2132" t="str">
        <f t="shared" si="319"/>
        <v>OFF</v>
      </c>
      <c r="O2132" t="str">
        <f t="shared" si="319"/>
        <v>OFF</v>
      </c>
      <c r="P2132" t="str">
        <f t="shared" si="319"/>
        <v>OFF</v>
      </c>
      <c r="Q2132" t="str">
        <f t="shared" si="319"/>
        <v>OFF</v>
      </c>
      <c r="R2132" t="str">
        <f t="shared" si="319"/>
        <v>OFF</v>
      </c>
      <c r="S2132" t="str">
        <f t="shared" si="319"/>
        <v>OFF</v>
      </c>
      <c r="T2132" t="str">
        <f t="shared" si="319"/>
        <v>OFF</v>
      </c>
      <c r="U2132" t="str">
        <f t="shared" si="319"/>
        <v>OFF</v>
      </c>
      <c r="V2132" t="str">
        <f t="shared" si="320"/>
        <v>OFF</v>
      </c>
      <c r="W2132" t="str">
        <f t="shared" si="320"/>
        <v>OFF</v>
      </c>
      <c r="X2132" t="str">
        <f t="shared" si="320"/>
        <v>OFF</v>
      </c>
      <c r="Y2132" t="str">
        <f t="shared" si="320"/>
        <v>OFF</v>
      </c>
      <c r="Z2132" t="str">
        <f t="shared" si="320"/>
        <v>OFF</v>
      </c>
      <c r="AA2132" t="str">
        <f t="shared" si="320"/>
        <v>OFF</v>
      </c>
      <c r="AB2132" t="str">
        <f t="shared" si="320"/>
        <v>OFF</v>
      </c>
      <c r="AC2132" t="str">
        <f t="shared" si="320"/>
        <v>OFF</v>
      </c>
      <c r="AD2132" t="str">
        <f t="shared" si="320"/>
        <v>OFF</v>
      </c>
      <c r="AE2132" t="str">
        <f t="shared" si="320"/>
        <v>OFF</v>
      </c>
      <c r="AF2132" t="str">
        <f t="shared" si="320"/>
        <v>OFF</v>
      </c>
      <c r="AG2132" t="str">
        <f t="shared" si="320"/>
        <v>OFF</v>
      </c>
    </row>
    <row r="2133" spans="1:33">
      <c r="A2133" t="s">
        <v>2975</v>
      </c>
      <c r="B2133" t="str">
        <f t="shared" si="318"/>
        <v>OFF</v>
      </c>
      <c r="C2133" t="str">
        <f t="shared" si="318"/>
        <v>OFF</v>
      </c>
      <c r="D2133" t="str">
        <f t="shared" si="318"/>
        <v>OFF</v>
      </c>
      <c r="E2133" t="str">
        <f t="shared" si="318"/>
        <v>OFF</v>
      </c>
      <c r="F2133" t="str">
        <f t="shared" si="318"/>
        <v>OFF</v>
      </c>
      <c r="G2133" t="str">
        <f t="shared" si="318"/>
        <v>OFF</v>
      </c>
      <c r="H2133" t="str">
        <f t="shared" si="318"/>
        <v>OFF</v>
      </c>
      <c r="I2133" t="str">
        <f t="shared" si="318"/>
        <v>OFF</v>
      </c>
      <c r="J2133" t="str">
        <f t="shared" si="318"/>
        <v>OFF</v>
      </c>
      <c r="K2133" t="str">
        <f t="shared" si="318"/>
        <v>OFF</v>
      </c>
      <c r="L2133" t="str">
        <f t="shared" si="319"/>
        <v>OFF</v>
      </c>
      <c r="M2133" t="str">
        <f t="shared" si="319"/>
        <v>OFF</v>
      </c>
      <c r="N2133" t="str">
        <f t="shared" si="319"/>
        <v>OFF</v>
      </c>
      <c r="O2133" t="str">
        <f t="shared" si="319"/>
        <v>OFF</v>
      </c>
      <c r="P2133" t="str">
        <f t="shared" si="319"/>
        <v>OFF</v>
      </c>
      <c r="Q2133" t="str">
        <f t="shared" si="319"/>
        <v>OFF</v>
      </c>
      <c r="R2133" t="str">
        <f t="shared" si="319"/>
        <v>OFF</v>
      </c>
      <c r="S2133" t="str">
        <f t="shared" si="319"/>
        <v>OFF</v>
      </c>
      <c r="T2133" t="str">
        <f t="shared" si="319"/>
        <v>OFF</v>
      </c>
      <c r="U2133" t="str">
        <f t="shared" si="319"/>
        <v>OFF</v>
      </c>
      <c r="V2133" t="str">
        <f t="shared" si="320"/>
        <v>OFF</v>
      </c>
      <c r="W2133" t="str">
        <f t="shared" si="320"/>
        <v>OFF</v>
      </c>
      <c r="X2133" t="str">
        <f t="shared" si="320"/>
        <v>OFF</v>
      </c>
      <c r="Y2133" t="str">
        <f t="shared" si="320"/>
        <v>OFF</v>
      </c>
      <c r="Z2133" t="str">
        <f t="shared" si="320"/>
        <v>OFF</v>
      </c>
      <c r="AA2133" t="str">
        <f t="shared" si="320"/>
        <v>OFF</v>
      </c>
      <c r="AB2133" t="str">
        <f t="shared" si="320"/>
        <v>OFF</v>
      </c>
      <c r="AC2133" t="str">
        <f t="shared" si="320"/>
        <v>OFF</v>
      </c>
      <c r="AD2133" t="str">
        <f t="shared" si="320"/>
        <v>OFF</v>
      </c>
      <c r="AE2133" t="str">
        <f t="shared" si="320"/>
        <v>OFF</v>
      </c>
      <c r="AF2133" t="str">
        <f t="shared" si="320"/>
        <v>OFF</v>
      </c>
      <c r="AG2133" t="str">
        <f t="shared" si="320"/>
        <v>OFF</v>
      </c>
    </row>
    <row r="2134" spans="1:33">
      <c r="A2134" t="s">
        <v>2976</v>
      </c>
      <c r="B2134" t="str">
        <f t="shared" si="318"/>
        <v>OFF</v>
      </c>
      <c r="C2134" t="str">
        <f t="shared" si="318"/>
        <v>OFF</v>
      </c>
      <c r="D2134" t="str">
        <f t="shared" si="318"/>
        <v>OFF</v>
      </c>
      <c r="E2134" t="str">
        <f t="shared" si="318"/>
        <v>OFF</v>
      </c>
      <c r="F2134" t="str">
        <f t="shared" si="318"/>
        <v>OFF</v>
      </c>
      <c r="G2134" t="str">
        <f t="shared" si="318"/>
        <v>OFF</v>
      </c>
      <c r="H2134" t="str">
        <f t="shared" si="318"/>
        <v>OFF</v>
      </c>
      <c r="I2134" t="str">
        <f t="shared" si="318"/>
        <v>OFF</v>
      </c>
      <c r="J2134" t="str">
        <f t="shared" si="318"/>
        <v>OFF</v>
      </c>
      <c r="K2134" t="str">
        <f t="shared" si="318"/>
        <v>OFF</v>
      </c>
      <c r="L2134" t="str">
        <f t="shared" si="319"/>
        <v>OFF</v>
      </c>
      <c r="M2134" t="str">
        <f t="shared" si="319"/>
        <v>OFF</v>
      </c>
      <c r="N2134" t="str">
        <f t="shared" si="319"/>
        <v>OFF</v>
      </c>
      <c r="O2134" t="str">
        <f t="shared" si="319"/>
        <v>OFF</v>
      </c>
      <c r="P2134" t="str">
        <f t="shared" si="319"/>
        <v>OFF</v>
      </c>
      <c r="Q2134" t="str">
        <f t="shared" si="319"/>
        <v>OFF</v>
      </c>
      <c r="R2134" t="str">
        <f t="shared" si="319"/>
        <v>OFF</v>
      </c>
      <c r="S2134" t="str">
        <f t="shared" si="319"/>
        <v>OFF</v>
      </c>
      <c r="T2134" t="str">
        <f t="shared" si="319"/>
        <v>OFF</v>
      </c>
      <c r="U2134" t="str">
        <f t="shared" si="319"/>
        <v>OFF</v>
      </c>
      <c r="V2134" t="str">
        <f t="shared" si="320"/>
        <v>OFF</v>
      </c>
      <c r="W2134" t="str">
        <f t="shared" si="320"/>
        <v>OFF</v>
      </c>
      <c r="X2134" t="str">
        <f t="shared" si="320"/>
        <v>OFF</v>
      </c>
      <c r="Y2134" t="str">
        <f t="shared" si="320"/>
        <v>OFF</v>
      </c>
      <c r="Z2134" t="str">
        <f t="shared" si="320"/>
        <v>OFF</v>
      </c>
      <c r="AA2134" t="str">
        <f t="shared" si="320"/>
        <v>OFF</v>
      </c>
      <c r="AB2134" t="str">
        <f t="shared" si="320"/>
        <v>OFF</v>
      </c>
      <c r="AC2134" t="str">
        <f t="shared" si="320"/>
        <v>OFF</v>
      </c>
      <c r="AD2134" t="str">
        <f t="shared" si="320"/>
        <v>OFF</v>
      </c>
      <c r="AE2134" t="str">
        <f t="shared" si="320"/>
        <v>OFF</v>
      </c>
      <c r="AF2134" t="str">
        <f t="shared" si="320"/>
        <v>OFF</v>
      </c>
      <c r="AG2134" t="str">
        <f t="shared" si="320"/>
        <v>OFF</v>
      </c>
    </row>
    <row r="2135" spans="1:33">
      <c r="A2135" t="s">
        <v>2977</v>
      </c>
      <c r="B2135" t="str">
        <f t="shared" si="318"/>
        <v>OFF</v>
      </c>
      <c r="C2135" t="str">
        <f t="shared" si="318"/>
        <v>OFF</v>
      </c>
      <c r="D2135" t="str">
        <f t="shared" si="318"/>
        <v>OFF</v>
      </c>
      <c r="E2135" t="str">
        <f t="shared" si="318"/>
        <v>OFF</v>
      </c>
      <c r="F2135" t="str">
        <f t="shared" si="318"/>
        <v>OFF</v>
      </c>
      <c r="G2135" t="str">
        <f t="shared" si="318"/>
        <v>OFF</v>
      </c>
      <c r="H2135" t="str">
        <f t="shared" si="318"/>
        <v>OFF</v>
      </c>
      <c r="I2135" t="str">
        <f t="shared" si="318"/>
        <v>OFF</v>
      </c>
      <c r="J2135" t="str">
        <f t="shared" si="318"/>
        <v>OFF</v>
      </c>
      <c r="K2135" t="str">
        <f t="shared" si="318"/>
        <v>OFF</v>
      </c>
      <c r="L2135" t="str">
        <f t="shared" si="319"/>
        <v>OFF</v>
      </c>
      <c r="M2135" t="str">
        <f t="shared" si="319"/>
        <v>OFF</v>
      </c>
      <c r="N2135" t="str">
        <f t="shared" si="319"/>
        <v>OFF</v>
      </c>
      <c r="O2135" t="str">
        <f t="shared" si="319"/>
        <v>OFF</v>
      </c>
      <c r="P2135" t="str">
        <f t="shared" si="319"/>
        <v>OFF</v>
      </c>
      <c r="Q2135" t="str">
        <f t="shared" si="319"/>
        <v>OFF</v>
      </c>
      <c r="R2135" t="str">
        <f t="shared" si="319"/>
        <v>OFF</v>
      </c>
      <c r="S2135" t="str">
        <f t="shared" si="319"/>
        <v>OFF</v>
      </c>
      <c r="T2135" t="str">
        <f t="shared" si="319"/>
        <v>OFF</v>
      </c>
      <c r="U2135" t="str">
        <f t="shared" si="319"/>
        <v>OFF</v>
      </c>
      <c r="V2135" t="str">
        <f t="shared" si="320"/>
        <v>OFF</v>
      </c>
      <c r="W2135" t="str">
        <f t="shared" si="320"/>
        <v>OFF</v>
      </c>
      <c r="X2135" t="str">
        <f t="shared" si="320"/>
        <v>OFF</v>
      </c>
      <c r="Y2135" t="str">
        <f t="shared" si="320"/>
        <v>OFF</v>
      </c>
      <c r="Z2135" t="str">
        <f t="shared" si="320"/>
        <v>OFF</v>
      </c>
      <c r="AA2135" t="str">
        <f t="shared" si="320"/>
        <v>OFF</v>
      </c>
      <c r="AB2135" t="str">
        <f t="shared" si="320"/>
        <v>OFF</v>
      </c>
      <c r="AC2135" t="str">
        <f t="shared" si="320"/>
        <v>OFF</v>
      </c>
      <c r="AD2135" t="str">
        <f t="shared" si="320"/>
        <v>OFF</v>
      </c>
      <c r="AE2135" t="str">
        <f t="shared" si="320"/>
        <v>OFF</v>
      </c>
      <c r="AF2135" t="str">
        <f t="shared" si="320"/>
        <v>OFF</v>
      </c>
      <c r="AG2135" t="str">
        <f t="shared" si="320"/>
        <v>OFF</v>
      </c>
    </row>
    <row r="2136" spans="1:33">
      <c r="A2136" t="s">
        <v>2978</v>
      </c>
      <c r="B2136" t="str">
        <f t="shared" si="318"/>
        <v>OFF</v>
      </c>
      <c r="C2136" t="str">
        <f t="shared" si="318"/>
        <v>OFF</v>
      </c>
      <c r="D2136" t="str">
        <f t="shared" si="318"/>
        <v>OFF</v>
      </c>
      <c r="E2136" t="str">
        <f t="shared" si="318"/>
        <v>OFF</v>
      </c>
      <c r="F2136" t="str">
        <f t="shared" si="318"/>
        <v>OFF</v>
      </c>
      <c r="G2136" t="str">
        <f t="shared" si="318"/>
        <v>OFF</v>
      </c>
      <c r="H2136" t="str">
        <f t="shared" si="318"/>
        <v>OFF</v>
      </c>
      <c r="I2136" t="str">
        <f t="shared" si="318"/>
        <v>OFF</v>
      </c>
      <c r="J2136" t="str">
        <f t="shared" si="318"/>
        <v>OFF</v>
      </c>
      <c r="K2136" t="str">
        <f t="shared" si="318"/>
        <v>OFF</v>
      </c>
      <c r="L2136" t="str">
        <f t="shared" si="319"/>
        <v>OFF</v>
      </c>
      <c r="M2136" t="str">
        <f t="shared" si="319"/>
        <v>OFF</v>
      </c>
      <c r="N2136" t="str">
        <f t="shared" si="319"/>
        <v>OFF</v>
      </c>
      <c r="O2136" t="str">
        <f t="shared" si="319"/>
        <v>OFF</v>
      </c>
      <c r="P2136" t="str">
        <f t="shared" si="319"/>
        <v>OFF</v>
      </c>
      <c r="Q2136" t="str">
        <f t="shared" si="319"/>
        <v>OFF</v>
      </c>
      <c r="R2136" t="str">
        <f t="shared" si="319"/>
        <v>OFF</v>
      </c>
      <c r="S2136" t="str">
        <f t="shared" si="319"/>
        <v>OFF</v>
      </c>
      <c r="T2136" t="str">
        <f t="shared" si="319"/>
        <v>OFF</v>
      </c>
      <c r="U2136" t="str">
        <f t="shared" si="319"/>
        <v>OFF</v>
      </c>
      <c r="V2136" t="str">
        <f t="shared" si="320"/>
        <v>OFF</v>
      </c>
      <c r="W2136" t="str">
        <f t="shared" si="320"/>
        <v>OFF</v>
      </c>
      <c r="X2136" t="str">
        <f t="shared" si="320"/>
        <v>OFF</v>
      </c>
      <c r="Y2136" t="str">
        <f t="shared" si="320"/>
        <v>OFF</v>
      </c>
      <c r="Z2136" t="str">
        <f t="shared" si="320"/>
        <v>OFF</v>
      </c>
      <c r="AA2136" t="str">
        <f t="shared" si="320"/>
        <v>OFF</v>
      </c>
      <c r="AB2136" t="str">
        <f t="shared" si="320"/>
        <v>OFF</v>
      </c>
      <c r="AC2136" t="str">
        <f t="shared" si="320"/>
        <v>OFF</v>
      </c>
      <c r="AD2136" t="str">
        <f t="shared" si="320"/>
        <v>OFF</v>
      </c>
      <c r="AE2136" t="str">
        <f t="shared" si="320"/>
        <v>OFF</v>
      </c>
      <c r="AF2136" t="str">
        <f t="shared" si="320"/>
        <v>OFF</v>
      </c>
      <c r="AG2136" t="str">
        <f t="shared" si="320"/>
        <v>OFF</v>
      </c>
    </row>
    <row r="2137" spans="1:33">
      <c r="A2137" t="s">
        <v>2979</v>
      </c>
      <c r="B2137" t="str">
        <f t="shared" si="318"/>
        <v>OFF</v>
      </c>
      <c r="C2137" t="str">
        <f t="shared" si="318"/>
        <v>OFF</v>
      </c>
      <c r="D2137" t="str">
        <f t="shared" si="318"/>
        <v>OFF</v>
      </c>
      <c r="E2137" t="str">
        <f t="shared" si="318"/>
        <v>OFF</v>
      </c>
      <c r="F2137" t="str">
        <f t="shared" si="318"/>
        <v>OFF</v>
      </c>
      <c r="G2137" t="str">
        <f t="shared" si="318"/>
        <v>OFF</v>
      </c>
      <c r="H2137" t="str">
        <f t="shared" si="318"/>
        <v>OFF</v>
      </c>
      <c r="I2137" t="str">
        <f t="shared" si="318"/>
        <v>OFF</v>
      </c>
      <c r="J2137" t="str">
        <f t="shared" si="318"/>
        <v>OFF</v>
      </c>
      <c r="K2137" t="str">
        <f t="shared" si="318"/>
        <v>OFF</v>
      </c>
      <c r="L2137" t="str">
        <f t="shared" si="319"/>
        <v>OFF</v>
      </c>
      <c r="M2137" t="str">
        <f t="shared" si="319"/>
        <v>OFF</v>
      </c>
      <c r="N2137" t="str">
        <f t="shared" si="319"/>
        <v>OFF</v>
      </c>
      <c r="O2137" t="str">
        <f t="shared" si="319"/>
        <v>OFF</v>
      </c>
      <c r="P2137" t="str">
        <f t="shared" si="319"/>
        <v>OFF</v>
      </c>
      <c r="Q2137" t="str">
        <f t="shared" si="319"/>
        <v>OFF</v>
      </c>
      <c r="R2137" t="str">
        <f t="shared" si="319"/>
        <v>OFF</v>
      </c>
      <c r="S2137" t="str">
        <f t="shared" si="319"/>
        <v>OFF</v>
      </c>
      <c r="T2137" t="str">
        <f t="shared" si="319"/>
        <v>OFF</v>
      </c>
      <c r="U2137" t="str">
        <f t="shared" si="319"/>
        <v>OFF</v>
      </c>
      <c r="V2137" t="str">
        <f t="shared" si="320"/>
        <v>OFF</v>
      </c>
      <c r="W2137" t="str">
        <f t="shared" si="320"/>
        <v>OFF</v>
      </c>
      <c r="X2137" t="str">
        <f t="shared" si="320"/>
        <v>OFF</v>
      </c>
      <c r="Y2137" t="str">
        <f t="shared" si="320"/>
        <v>OFF</v>
      </c>
      <c r="Z2137" t="str">
        <f t="shared" si="320"/>
        <v>OFF</v>
      </c>
      <c r="AA2137" t="str">
        <f t="shared" si="320"/>
        <v>OFF</v>
      </c>
      <c r="AB2137" t="str">
        <f t="shared" si="320"/>
        <v>OFF</v>
      </c>
      <c r="AC2137" t="str">
        <f t="shared" si="320"/>
        <v>OFF</v>
      </c>
      <c r="AD2137" t="str">
        <f t="shared" si="320"/>
        <v>OFF</v>
      </c>
      <c r="AE2137" t="str">
        <f t="shared" si="320"/>
        <v>OFF</v>
      </c>
      <c r="AF2137" t="str">
        <f t="shared" si="320"/>
        <v>OFF</v>
      </c>
      <c r="AG2137" t="str">
        <f t="shared" si="320"/>
        <v>OFF</v>
      </c>
    </row>
    <row r="2138" spans="1:33">
      <c r="A2138" t="s">
        <v>2980</v>
      </c>
      <c r="B2138" t="str">
        <f t="shared" si="318"/>
        <v>OFF</v>
      </c>
      <c r="C2138" t="str">
        <f t="shared" si="318"/>
        <v>OFF</v>
      </c>
      <c r="D2138" t="str">
        <f t="shared" si="318"/>
        <v>OFF</v>
      </c>
      <c r="E2138" t="str">
        <f t="shared" si="318"/>
        <v>OFF</v>
      </c>
      <c r="F2138" t="str">
        <f t="shared" si="318"/>
        <v>OFF</v>
      </c>
      <c r="G2138" t="str">
        <f t="shared" si="318"/>
        <v>OFF</v>
      </c>
      <c r="H2138" t="str">
        <f t="shared" si="318"/>
        <v>OFF</v>
      </c>
      <c r="I2138" t="str">
        <f t="shared" si="318"/>
        <v>OFF</v>
      </c>
      <c r="J2138" t="str">
        <f t="shared" si="318"/>
        <v>OFF</v>
      </c>
      <c r="K2138" t="str">
        <f t="shared" si="318"/>
        <v>OFF</v>
      </c>
      <c r="L2138" t="str">
        <f t="shared" si="319"/>
        <v>OFF</v>
      </c>
      <c r="M2138" t="str">
        <f t="shared" si="319"/>
        <v>OFF</v>
      </c>
      <c r="N2138" t="str">
        <f t="shared" si="319"/>
        <v>OFF</v>
      </c>
      <c r="O2138" t="str">
        <f t="shared" si="319"/>
        <v>OFF</v>
      </c>
      <c r="P2138" t="str">
        <f t="shared" si="319"/>
        <v>OFF</v>
      </c>
      <c r="Q2138" t="str">
        <f t="shared" si="319"/>
        <v>OFF</v>
      </c>
      <c r="R2138" t="str">
        <f t="shared" si="319"/>
        <v>OFF</v>
      </c>
      <c r="S2138" t="str">
        <f t="shared" si="319"/>
        <v>OFF</v>
      </c>
      <c r="T2138" t="str">
        <f t="shared" si="319"/>
        <v>OFF</v>
      </c>
      <c r="U2138" t="str">
        <f t="shared" si="319"/>
        <v>OFF</v>
      </c>
      <c r="V2138" t="str">
        <f t="shared" si="320"/>
        <v>OFF</v>
      </c>
      <c r="W2138" t="str">
        <f t="shared" si="320"/>
        <v>OFF</v>
      </c>
      <c r="X2138" t="str">
        <f t="shared" si="320"/>
        <v>OFF</v>
      </c>
      <c r="Y2138" t="str">
        <f t="shared" si="320"/>
        <v>OFF</v>
      </c>
      <c r="Z2138" t="str">
        <f t="shared" si="320"/>
        <v>OFF</v>
      </c>
      <c r="AA2138" t="str">
        <f t="shared" si="320"/>
        <v>OFF</v>
      </c>
      <c r="AB2138" t="str">
        <f t="shared" si="320"/>
        <v>OFF</v>
      </c>
      <c r="AC2138" t="str">
        <f t="shared" si="320"/>
        <v>OFF</v>
      </c>
      <c r="AD2138" t="str">
        <f t="shared" si="320"/>
        <v>OFF</v>
      </c>
      <c r="AE2138" t="str">
        <f t="shared" si="320"/>
        <v>OFF</v>
      </c>
      <c r="AF2138" t="str">
        <f t="shared" si="320"/>
        <v>OFF</v>
      </c>
      <c r="AG2138" t="str">
        <f t="shared" si="320"/>
        <v>OFF</v>
      </c>
    </row>
    <row r="2139" spans="1:33">
      <c r="A2139" t="s">
        <v>2981</v>
      </c>
      <c r="B2139" t="str">
        <f t="shared" ref="B2139:K2148" si="321">"OFF"</f>
        <v>OFF</v>
      </c>
      <c r="C2139" t="str">
        <f t="shared" si="321"/>
        <v>OFF</v>
      </c>
      <c r="D2139" t="str">
        <f t="shared" si="321"/>
        <v>OFF</v>
      </c>
      <c r="E2139" t="str">
        <f t="shared" si="321"/>
        <v>OFF</v>
      </c>
      <c r="F2139" t="str">
        <f t="shared" si="321"/>
        <v>OFF</v>
      </c>
      <c r="G2139" t="str">
        <f t="shared" si="321"/>
        <v>OFF</v>
      </c>
      <c r="H2139" t="str">
        <f t="shared" si="321"/>
        <v>OFF</v>
      </c>
      <c r="I2139" t="str">
        <f t="shared" si="321"/>
        <v>OFF</v>
      </c>
      <c r="J2139" t="str">
        <f t="shared" si="321"/>
        <v>OFF</v>
      </c>
      <c r="K2139" t="str">
        <f t="shared" si="321"/>
        <v>OFF</v>
      </c>
      <c r="L2139" t="str">
        <f t="shared" ref="L2139:U2148" si="322">"OFF"</f>
        <v>OFF</v>
      </c>
      <c r="M2139" t="str">
        <f t="shared" si="322"/>
        <v>OFF</v>
      </c>
      <c r="N2139" t="str">
        <f t="shared" si="322"/>
        <v>OFF</v>
      </c>
      <c r="O2139" t="str">
        <f t="shared" si="322"/>
        <v>OFF</v>
      </c>
      <c r="P2139" t="str">
        <f t="shared" si="322"/>
        <v>OFF</v>
      </c>
      <c r="Q2139" t="str">
        <f t="shared" si="322"/>
        <v>OFF</v>
      </c>
      <c r="R2139" t="str">
        <f t="shared" si="322"/>
        <v>OFF</v>
      </c>
      <c r="S2139" t="str">
        <f t="shared" si="322"/>
        <v>OFF</v>
      </c>
      <c r="T2139" t="str">
        <f t="shared" si="322"/>
        <v>OFF</v>
      </c>
      <c r="U2139" t="str">
        <f t="shared" si="322"/>
        <v>OFF</v>
      </c>
      <c r="V2139" t="str">
        <f t="shared" ref="V2139:AG2148" si="323">"OFF"</f>
        <v>OFF</v>
      </c>
      <c r="W2139" t="str">
        <f t="shared" si="323"/>
        <v>OFF</v>
      </c>
      <c r="X2139" t="str">
        <f t="shared" si="323"/>
        <v>OFF</v>
      </c>
      <c r="Y2139" t="str">
        <f t="shared" si="323"/>
        <v>OFF</v>
      </c>
      <c r="Z2139" t="str">
        <f t="shared" si="323"/>
        <v>OFF</v>
      </c>
      <c r="AA2139" t="str">
        <f t="shared" si="323"/>
        <v>OFF</v>
      </c>
      <c r="AB2139" t="str">
        <f t="shared" si="323"/>
        <v>OFF</v>
      </c>
      <c r="AC2139" t="str">
        <f t="shared" si="323"/>
        <v>OFF</v>
      </c>
      <c r="AD2139" t="str">
        <f t="shared" si="323"/>
        <v>OFF</v>
      </c>
      <c r="AE2139" t="str">
        <f t="shared" si="323"/>
        <v>OFF</v>
      </c>
      <c r="AF2139" t="str">
        <f t="shared" si="323"/>
        <v>OFF</v>
      </c>
      <c r="AG2139" t="str">
        <f t="shared" si="323"/>
        <v>OFF</v>
      </c>
    </row>
    <row r="2140" spans="1:33">
      <c r="A2140" t="s">
        <v>2982</v>
      </c>
      <c r="B2140" t="str">
        <f t="shared" si="321"/>
        <v>OFF</v>
      </c>
      <c r="C2140" t="str">
        <f t="shared" si="321"/>
        <v>OFF</v>
      </c>
      <c r="D2140" t="str">
        <f t="shared" si="321"/>
        <v>OFF</v>
      </c>
      <c r="E2140" t="str">
        <f t="shared" si="321"/>
        <v>OFF</v>
      </c>
      <c r="F2140" t="str">
        <f t="shared" si="321"/>
        <v>OFF</v>
      </c>
      <c r="G2140" t="str">
        <f t="shared" si="321"/>
        <v>OFF</v>
      </c>
      <c r="H2140" t="str">
        <f t="shared" si="321"/>
        <v>OFF</v>
      </c>
      <c r="I2140" t="str">
        <f t="shared" si="321"/>
        <v>OFF</v>
      </c>
      <c r="J2140" t="str">
        <f t="shared" si="321"/>
        <v>OFF</v>
      </c>
      <c r="K2140" t="str">
        <f t="shared" si="321"/>
        <v>OFF</v>
      </c>
      <c r="L2140" t="str">
        <f t="shared" si="322"/>
        <v>OFF</v>
      </c>
      <c r="M2140" t="str">
        <f t="shared" si="322"/>
        <v>OFF</v>
      </c>
      <c r="N2140" t="str">
        <f t="shared" si="322"/>
        <v>OFF</v>
      </c>
      <c r="O2140" t="str">
        <f t="shared" si="322"/>
        <v>OFF</v>
      </c>
      <c r="P2140" t="str">
        <f t="shared" si="322"/>
        <v>OFF</v>
      </c>
      <c r="Q2140" t="str">
        <f t="shared" si="322"/>
        <v>OFF</v>
      </c>
      <c r="R2140" t="str">
        <f t="shared" si="322"/>
        <v>OFF</v>
      </c>
      <c r="S2140" t="str">
        <f t="shared" si="322"/>
        <v>OFF</v>
      </c>
      <c r="T2140" t="str">
        <f t="shared" si="322"/>
        <v>OFF</v>
      </c>
      <c r="U2140" t="str">
        <f t="shared" si="322"/>
        <v>OFF</v>
      </c>
      <c r="V2140" t="str">
        <f t="shared" si="323"/>
        <v>OFF</v>
      </c>
      <c r="W2140" t="str">
        <f t="shared" si="323"/>
        <v>OFF</v>
      </c>
      <c r="X2140" t="str">
        <f t="shared" si="323"/>
        <v>OFF</v>
      </c>
      <c r="Y2140" t="str">
        <f t="shared" si="323"/>
        <v>OFF</v>
      </c>
      <c r="Z2140" t="str">
        <f t="shared" si="323"/>
        <v>OFF</v>
      </c>
      <c r="AA2140" t="str">
        <f t="shared" si="323"/>
        <v>OFF</v>
      </c>
      <c r="AB2140" t="str">
        <f t="shared" si="323"/>
        <v>OFF</v>
      </c>
      <c r="AC2140" t="str">
        <f t="shared" si="323"/>
        <v>OFF</v>
      </c>
      <c r="AD2140" t="str">
        <f t="shared" si="323"/>
        <v>OFF</v>
      </c>
      <c r="AE2140" t="str">
        <f t="shared" si="323"/>
        <v>OFF</v>
      </c>
      <c r="AF2140" t="str">
        <f t="shared" si="323"/>
        <v>OFF</v>
      </c>
      <c r="AG2140" t="str">
        <f t="shared" si="323"/>
        <v>OFF</v>
      </c>
    </row>
    <row r="2141" spans="1:33">
      <c r="A2141" t="s">
        <v>2983</v>
      </c>
      <c r="B2141" t="str">
        <f t="shared" si="321"/>
        <v>OFF</v>
      </c>
      <c r="C2141" t="str">
        <f t="shared" si="321"/>
        <v>OFF</v>
      </c>
      <c r="D2141" t="str">
        <f t="shared" si="321"/>
        <v>OFF</v>
      </c>
      <c r="E2141" t="str">
        <f t="shared" si="321"/>
        <v>OFF</v>
      </c>
      <c r="F2141" t="str">
        <f t="shared" si="321"/>
        <v>OFF</v>
      </c>
      <c r="G2141" t="str">
        <f t="shared" si="321"/>
        <v>OFF</v>
      </c>
      <c r="H2141" t="str">
        <f t="shared" si="321"/>
        <v>OFF</v>
      </c>
      <c r="I2141" t="str">
        <f t="shared" si="321"/>
        <v>OFF</v>
      </c>
      <c r="J2141" t="str">
        <f t="shared" si="321"/>
        <v>OFF</v>
      </c>
      <c r="K2141" t="str">
        <f t="shared" si="321"/>
        <v>OFF</v>
      </c>
      <c r="L2141" t="str">
        <f t="shared" si="322"/>
        <v>OFF</v>
      </c>
      <c r="M2141" t="str">
        <f t="shared" si="322"/>
        <v>OFF</v>
      </c>
      <c r="N2141" t="str">
        <f t="shared" si="322"/>
        <v>OFF</v>
      </c>
      <c r="O2141" t="str">
        <f t="shared" si="322"/>
        <v>OFF</v>
      </c>
      <c r="P2141" t="str">
        <f t="shared" si="322"/>
        <v>OFF</v>
      </c>
      <c r="Q2141" t="str">
        <f t="shared" si="322"/>
        <v>OFF</v>
      </c>
      <c r="R2141" t="str">
        <f t="shared" si="322"/>
        <v>OFF</v>
      </c>
      <c r="S2141" t="str">
        <f t="shared" si="322"/>
        <v>OFF</v>
      </c>
      <c r="T2141" t="str">
        <f t="shared" si="322"/>
        <v>OFF</v>
      </c>
      <c r="U2141" t="str">
        <f t="shared" si="322"/>
        <v>OFF</v>
      </c>
      <c r="V2141" t="str">
        <f t="shared" si="323"/>
        <v>OFF</v>
      </c>
      <c r="W2141" t="str">
        <f t="shared" si="323"/>
        <v>OFF</v>
      </c>
      <c r="X2141" t="str">
        <f t="shared" si="323"/>
        <v>OFF</v>
      </c>
      <c r="Y2141" t="str">
        <f t="shared" si="323"/>
        <v>OFF</v>
      </c>
      <c r="Z2141" t="str">
        <f t="shared" si="323"/>
        <v>OFF</v>
      </c>
      <c r="AA2141" t="str">
        <f t="shared" si="323"/>
        <v>OFF</v>
      </c>
      <c r="AB2141" t="str">
        <f t="shared" si="323"/>
        <v>OFF</v>
      </c>
      <c r="AC2141" t="str">
        <f t="shared" si="323"/>
        <v>OFF</v>
      </c>
      <c r="AD2141" t="str">
        <f t="shared" si="323"/>
        <v>OFF</v>
      </c>
      <c r="AE2141" t="str">
        <f t="shared" si="323"/>
        <v>OFF</v>
      </c>
      <c r="AF2141" t="str">
        <f t="shared" si="323"/>
        <v>OFF</v>
      </c>
      <c r="AG2141" t="str">
        <f t="shared" si="323"/>
        <v>OFF</v>
      </c>
    </row>
    <row r="2142" spans="1:33">
      <c r="A2142" t="s">
        <v>2984</v>
      </c>
      <c r="B2142" t="str">
        <f t="shared" si="321"/>
        <v>OFF</v>
      </c>
      <c r="C2142" t="str">
        <f t="shared" si="321"/>
        <v>OFF</v>
      </c>
      <c r="D2142" t="str">
        <f t="shared" si="321"/>
        <v>OFF</v>
      </c>
      <c r="E2142" t="str">
        <f t="shared" si="321"/>
        <v>OFF</v>
      </c>
      <c r="F2142" t="str">
        <f t="shared" si="321"/>
        <v>OFF</v>
      </c>
      <c r="G2142" t="str">
        <f t="shared" si="321"/>
        <v>OFF</v>
      </c>
      <c r="H2142" t="str">
        <f t="shared" si="321"/>
        <v>OFF</v>
      </c>
      <c r="I2142" t="str">
        <f t="shared" si="321"/>
        <v>OFF</v>
      </c>
      <c r="J2142" t="str">
        <f t="shared" si="321"/>
        <v>OFF</v>
      </c>
      <c r="K2142" t="str">
        <f t="shared" si="321"/>
        <v>OFF</v>
      </c>
      <c r="L2142" t="str">
        <f t="shared" si="322"/>
        <v>OFF</v>
      </c>
      <c r="M2142" t="str">
        <f t="shared" si="322"/>
        <v>OFF</v>
      </c>
      <c r="N2142" t="str">
        <f t="shared" si="322"/>
        <v>OFF</v>
      </c>
      <c r="O2142" t="str">
        <f t="shared" si="322"/>
        <v>OFF</v>
      </c>
      <c r="P2142" t="str">
        <f t="shared" si="322"/>
        <v>OFF</v>
      </c>
      <c r="Q2142" t="str">
        <f t="shared" si="322"/>
        <v>OFF</v>
      </c>
      <c r="R2142" t="str">
        <f t="shared" si="322"/>
        <v>OFF</v>
      </c>
      <c r="S2142" t="str">
        <f t="shared" si="322"/>
        <v>OFF</v>
      </c>
      <c r="T2142" t="str">
        <f t="shared" si="322"/>
        <v>OFF</v>
      </c>
      <c r="U2142" t="str">
        <f t="shared" si="322"/>
        <v>OFF</v>
      </c>
      <c r="V2142" t="str">
        <f t="shared" si="323"/>
        <v>OFF</v>
      </c>
      <c r="W2142" t="str">
        <f t="shared" si="323"/>
        <v>OFF</v>
      </c>
      <c r="X2142" t="str">
        <f t="shared" si="323"/>
        <v>OFF</v>
      </c>
      <c r="Y2142" t="str">
        <f t="shared" si="323"/>
        <v>OFF</v>
      </c>
      <c r="Z2142" t="str">
        <f t="shared" si="323"/>
        <v>OFF</v>
      </c>
      <c r="AA2142" t="str">
        <f t="shared" si="323"/>
        <v>OFF</v>
      </c>
      <c r="AB2142" t="str">
        <f t="shared" si="323"/>
        <v>OFF</v>
      </c>
      <c r="AC2142" t="str">
        <f t="shared" si="323"/>
        <v>OFF</v>
      </c>
      <c r="AD2142" t="str">
        <f t="shared" si="323"/>
        <v>OFF</v>
      </c>
      <c r="AE2142" t="str">
        <f t="shared" si="323"/>
        <v>OFF</v>
      </c>
      <c r="AF2142" t="str">
        <f t="shared" si="323"/>
        <v>OFF</v>
      </c>
      <c r="AG2142" t="str">
        <f t="shared" si="323"/>
        <v>OFF</v>
      </c>
    </row>
    <row r="2143" spans="1:33">
      <c r="A2143" t="s">
        <v>2985</v>
      </c>
      <c r="B2143" t="str">
        <f t="shared" si="321"/>
        <v>OFF</v>
      </c>
      <c r="C2143" t="str">
        <f t="shared" si="321"/>
        <v>OFF</v>
      </c>
      <c r="D2143" t="str">
        <f t="shared" si="321"/>
        <v>OFF</v>
      </c>
      <c r="E2143" t="str">
        <f t="shared" si="321"/>
        <v>OFF</v>
      </c>
      <c r="F2143" t="str">
        <f t="shared" si="321"/>
        <v>OFF</v>
      </c>
      <c r="G2143" t="str">
        <f t="shared" si="321"/>
        <v>OFF</v>
      </c>
      <c r="H2143" t="str">
        <f t="shared" si="321"/>
        <v>OFF</v>
      </c>
      <c r="I2143" t="str">
        <f t="shared" si="321"/>
        <v>OFF</v>
      </c>
      <c r="J2143" t="str">
        <f t="shared" si="321"/>
        <v>OFF</v>
      </c>
      <c r="K2143" t="str">
        <f t="shared" si="321"/>
        <v>OFF</v>
      </c>
      <c r="L2143" t="str">
        <f t="shared" si="322"/>
        <v>OFF</v>
      </c>
      <c r="M2143" t="str">
        <f t="shared" si="322"/>
        <v>OFF</v>
      </c>
      <c r="N2143" t="str">
        <f t="shared" si="322"/>
        <v>OFF</v>
      </c>
      <c r="O2143" t="str">
        <f t="shared" si="322"/>
        <v>OFF</v>
      </c>
      <c r="P2143" t="str">
        <f t="shared" si="322"/>
        <v>OFF</v>
      </c>
      <c r="Q2143" t="str">
        <f t="shared" si="322"/>
        <v>OFF</v>
      </c>
      <c r="R2143" t="str">
        <f t="shared" si="322"/>
        <v>OFF</v>
      </c>
      <c r="S2143" t="str">
        <f t="shared" si="322"/>
        <v>OFF</v>
      </c>
      <c r="T2143" t="str">
        <f t="shared" si="322"/>
        <v>OFF</v>
      </c>
      <c r="U2143" t="str">
        <f t="shared" si="322"/>
        <v>OFF</v>
      </c>
      <c r="V2143" t="str">
        <f t="shared" si="323"/>
        <v>OFF</v>
      </c>
      <c r="W2143" t="str">
        <f t="shared" si="323"/>
        <v>OFF</v>
      </c>
      <c r="X2143" t="str">
        <f t="shared" si="323"/>
        <v>OFF</v>
      </c>
      <c r="Y2143" t="str">
        <f t="shared" si="323"/>
        <v>OFF</v>
      </c>
      <c r="Z2143" t="str">
        <f t="shared" si="323"/>
        <v>OFF</v>
      </c>
      <c r="AA2143" t="str">
        <f t="shared" si="323"/>
        <v>OFF</v>
      </c>
      <c r="AB2143" t="str">
        <f t="shared" si="323"/>
        <v>OFF</v>
      </c>
      <c r="AC2143" t="str">
        <f t="shared" si="323"/>
        <v>OFF</v>
      </c>
      <c r="AD2143" t="str">
        <f t="shared" si="323"/>
        <v>OFF</v>
      </c>
      <c r="AE2143" t="str">
        <f t="shared" si="323"/>
        <v>OFF</v>
      </c>
      <c r="AF2143" t="str">
        <f t="shared" si="323"/>
        <v>OFF</v>
      </c>
      <c r="AG2143" t="str">
        <f t="shared" si="323"/>
        <v>OFF</v>
      </c>
    </row>
    <row r="2144" spans="1:33">
      <c r="A2144" t="s">
        <v>2986</v>
      </c>
      <c r="B2144" t="str">
        <f t="shared" si="321"/>
        <v>OFF</v>
      </c>
      <c r="C2144" t="str">
        <f t="shared" si="321"/>
        <v>OFF</v>
      </c>
      <c r="D2144" t="str">
        <f t="shared" si="321"/>
        <v>OFF</v>
      </c>
      <c r="E2144" t="str">
        <f t="shared" si="321"/>
        <v>OFF</v>
      </c>
      <c r="F2144" t="str">
        <f t="shared" si="321"/>
        <v>OFF</v>
      </c>
      <c r="G2144" t="str">
        <f t="shared" si="321"/>
        <v>OFF</v>
      </c>
      <c r="H2144" t="str">
        <f t="shared" si="321"/>
        <v>OFF</v>
      </c>
      <c r="I2144" t="str">
        <f t="shared" si="321"/>
        <v>OFF</v>
      </c>
      <c r="J2144" t="str">
        <f t="shared" si="321"/>
        <v>OFF</v>
      </c>
      <c r="K2144" t="str">
        <f t="shared" si="321"/>
        <v>OFF</v>
      </c>
      <c r="L2144" t="str">
        <f t="shared" si="322"/>
        <v>OFF</v>
      </c>
      <c r="M2144" t="str">
        <f t="shared" si="322"/>
        <v>OFF</v>
      </c>
      <c r="N2144" t="str">
        <f t="shared" si="322"/>
        <v>OFF</v>
      </c>
      <c r="O2144" t="str">
        <f t="shared" si="322"/>
        <v>OFF</v>
      </c>
      <c r="P2144" t="str">
        <f t="shared" si="322"/>
        <v>OFF</v>
      </c>
      <c r="Q2144" t="str">
        <f t="shared" si="322"/>
        <v>OFF</v>
      </c>
      <c r="R2144" t="str">
        <f t="shared" si="322"/>
        <v>OFF</v>
      </c>
      <c r="S2144" t="str">
        <f t="shared" si="322"/>
        <v>OFF</v>
      </c>
      <c r="T2144" t="str">
        <f t="shared" si="322"/>
        <v>OFF</v>
      </c>
      <c r="U2144" t="str">
        <f t="shared" si="322"/>
        <v>OFF</v>
      </c>
      <c r="V2144" t="str">
        <f t="shared" si="323"/>
        <v>OFF</v>
      </c>
      <c r="W2144" t="str">
        <f t="shared" si="323"/>
        <v>OFF</v>
      </c>
      <c r="X2144" t="str">
        <f t="shared" si="323"/>
        <v>OFF</v>
      </c>
      <c r="Y2144" t="str">
        <f t="shared" si="323"/>
        <v>OFF</v>
      </c>
      <c r="Z2144" t="str">
        <f t="shared" si="323"/>
        <v>OFF</v>
      </c>
      <c r="AA2144" t="str">
        <f t="shared" si="323"/>
        <v>OFF</v>
      </c>
      <c r="AB2144" t="str">
        <f t="shared" si="323"/>
        <v>OFF</v>
      </c>
      <c r="AC2144" t="str">
        <f t="shared" si="323"/>
        <v>OFF</v>
      </c>
      <c r="AD2144" t="str">
        <f t="shared" si="323"/>
        <v>OFF</v>
      </c>
      <c r="AE2144" t="str">
        <f t="shared" si="323"/>
        <v>OFF</v>
      </c>
      <c r="AF2144" t="str">
        <f t="shared" si="323"/>
        <v>OFF</v>
      </c>
      <c r="AG2144" t="str">
        <f t="shared" si="323"/>
        <v>OFF</v>
      </c>
    </row>
    <row r="2145" spans="1:33">
      <c r="A2145" t="s">
        <v>2987</v>
      </c>
      <c r="B2145" t="str">
        <f t="shared" si="321"/>
        <v>OFF</v>
      </c>
      <c r="C2145" t="str">
        <f t="shared" si="321"/>
        <v>OFF</v>
      </c>
      <c r="D2145" t="str">
        <f t="shared" si="321"/>
        <v>OFF</v>
      </c>
      <c r="E2145" t="str">
        <f t="shared" si="321"/>
        <v>OFF</v>
      </c>
      <c r="F2145" t="str">
        <f t="shared" si="321"/>
        <v>OFF</v>
      </c>
      <c r="G2145" t="str">
        <f t="shared" si="321"/>
        <v>OFF</v>
      </c>
      <c r="H2145" t="str">
        <f t="shared" si="321"/>
        <v>OFF</v>
      </c>
      <c r="I2145" t="str">
        <f t="shared" si="321"/>
        <v>OFF</v>
      </c>
      <c r="J2145" t="str">
        <f t="shared" si="321"/>
        <v>OFF</v>
      </c>
      <c r="K2145" t="str">
        <f t="shared" si="321"/>
        <v>OFF</v>
      </c>
      <c r="L2145" t="str">
        <f t="shared" si="322"/>
        <v>OFF</v>
      </c>
      <c r="M2145" t="str">
        <f t="shared" si="322"/>
        <v>OFF</v>
      </c>
      <c r="N2145" t="str">
        <f t="shared" si="322"/>
        <v>OFF</v>
      </c>
      <c r="O2145" t="str">
        <f t="shared" si="322"/>
        <v>OFF</v>
      </c>
      <c r="P2145" t="str">
        <f t="shared" si="322"/>
        <v>OFF</v>
      </c>
      <c r="Q2145" t="str">
        <f t="shared" si="322"/>
        <v>OFF</v>
      </c>
      <c r="R2145" t="str">
        <f t="shared" si="322"/>
        <v>OFF</v>
      </c>
      <c r="S2145" t="str">
        <f t="shared" si="322"/>
        <v>OFF</v>
      </c>
      <c r="T2145" t="str">
        <f t="shared" si="322"/>
        <v>OFF</v>
      </c>
      <c r="U2145" t="str">
        <f t="shared" si="322"/>
        <v>OFF</v>
      </c>
      <c r="V2145" t="str">
        <f t="shared" si="323"/>
        <v>OFF</v>
      </c>
      <c r="W2145" t="str">
        <f t="shared" si="323"/>
        <v>OFF</v>
      </c>
      <c r="X2145" t="str">
        <f t="shared" si="323"/>
        <v>OFF</v>
      </c>
      <c r="Y2145" t="str">
        <f t="shared" si="323"/>
        <v>OFF</v>
      </c>
      <c r="Z2145" t="str">
        <f t="shared" si="323"/>
        <v>OFF</v>
      </c>
      <c r="AA2145" t="str">
        <f t="shared" si="323"/>
        <v>OFF</v>
      </c>
      <c r="AB2145" t="str">
        <f t="shared" si="323"/>
        <v>OFF</v>
      </c>
      <c r="AC2145" t="str">
        <f t="shared" si="323"/>
        <v>OFF</v>
      </c>
      <c r="AD2145" t="str">
        <f t="shared" si="323"/>
        <v>OFF</v>
      </c>
      <c r="AE2145" t="str">
        <f t="shared" si="323"/>
        <v>OFF</v>
      </c>
      <c r="AF2145" t="str">
        <f t="shared" si="323"/>
        <v>OFF</v>
      </c>
      <c r="AG2145" t="str">
        <f t="shared" si="323"/>
        <v>OFF</v>
      </c>
    </row>
    <row r="2146" spans="1:33">
      <c r="A2146" t="s">
        <v>2988</v>
      </c>
      <c r="B2146" t="str">
        <f t="shared" si="321"/>
        <v>OFF</v>
      </c>
      <c r="C2146" t="str">
        <f t="shared" si="321"/>
        <v>OFF</v>
      </c>
      <c r="D2146" t="str">
        <f t="shared" si="321"/>
        <v>OFF</v>
      </c>
      <c r="E2146" t="str">
        <f t="shared" si="321"/>
        <v>OFF</v>
      </c>
      <c r="F2146" t="str">
        <f t="shared" si="321"/>
        <v>OFF</v>
      </c>
      <c r="G2146" t="str">
        <f t="shared" si="321"/>
        <v>OFF</v>
      </c>
      <c r="H2146" t="str">
        <f t="shared" si="321"/>
        <v>OFF</v>
      </c>
      <c r="I2146" t="str">
        <f t="shared" si="321"/>
        <v>OFF</v>
      </c>
      <c r="J2146" t="str">
        <f t="shared" si="321"/>
        <v>OFF</v>
      </c>
      <c r="K2146" t="str">
        <f t="shared" si="321"/>
        <v>OFF</v>
      </c>
      <c r="L2146" t="str">
        <f t="shared" si="322"/>
        <v>OFF</v>
      </c>
      <c r="M2146" t="str">
        <f t="shared" si="322"/>
        <v>OFF</v>
      </c>
      <c r="N2146" t="str">
        <f t="shared" si="322"/>
        <v>OFF</v>
      </c>
      <c r="O2146" t="str">
        <f t="shared" si="322"/>
        <v>OFF</v>
      </c>
      <c r="P2146" t="str">
        <f t="shared" si="322"/>
        <v>OFF</v>
      </c>
      <c r="Q2146" t="str">
        <f t="shared" si="322"/>
        <v>OFF</v>
      </c>
      <c r="R2146" t="str">
        <f t="shared" si="322"/>
        <v>OFF</v>
      </c>
      <c r="S2146" t="str">
        <f t="shared" si="322"/>
        <v>OFF</v>
      </c>
      <c r="T2146" t="str">
        <f t="shared" si="322"/>
        <v>OFF</v>
      </c>
      <c r="U2146" t="str">
        <f t="shared" si="322"/>
        <v>OFF</v>
      </c>
      <c r="V2146" t="str">
        <f t="shared" si="323"/>
        <v>OFF</v>
      </c>
      <c r="W2146" t="str">
        <f t="shared" si="323"/>
        <v>OFF</v>
      </c>
      <c r="X2146" t="str">
        <f t="shared" si="323"/>
        <v>OFF</v>
      </c>
      <c r="Y2146" t="str">
        <f t="shared" si="323"/>
        <v>OFF</v>
      </c>
      <c r="Z2146" t="str">
        <f t="shared" si="323"/>
        <v>OFF</v>
      </c>
      <c r="AA2146" t="str">
        <f t="shared" si="323"/>
        <v>OFF</v>
      </c>
      <c r="AB2146" t="str">
        <f t="shared" si="323"/>
        <v>OFF</v>
      </c>
      <c r="AC2146" t="str">
        <f t="shared" si="323"/>
        <v>OFF</v>
      </c>
      <c r="AD2146" t="str">
        <f t="shared" si="323"/>
        <v>OFF</v>
      </c>
      <c r="AE2146" t="str">
        <f t="shared" si="323"/>
        <v>OFF</v>
      </c>
      <c r="AF2146" t="str">
        <f t="shared" si="323"/>
        <v>OFF</v>
      </c>
      <c r="AG2146" t="str">
        <f t="shared" si="323"/>
        <v>OFF</v>
      </c>
    </row>
    <row r="2147" spans="1:33">
      <c r="A2147" t="s">
        <v>2989</v>
      </c>
      <c r="B2147" t="str">
        <f t="shared" si="321"/>
        <v>OFF</v>
      </c>
      <c r="C2147" t="str">
        <f t="shared" si="321"/>
        <v>OFF</v>
      </c>
      <c r="D2147" t="str">
        <f t="shared" si="321"/>
        <v>OFF</v>
      </c>
      <c r="E2147" t="str">
        <f t="shared" si="321"/>
        <v>OFF</v>
      </c>
      <c r="F2147" t="str">
        <f t="shared" si="321"/>
        <v>OFF</v>
      </c>
      <c r="G2147" t="str">
        <f t="shared" si="321"/>
        <v>OFF</v>
      </c>
      <c r="H2147" t="str">
        <f t="shared" si="321"/>
        <v>OFF</v>
      </c>
      <c r="I2147" t="str">
        <f t="shared" si="321"/>
        <v>OFF</v>
      </c>
      <c r="J2147" t="str">
        <f t="shared" si="321"/>
        <v>OFF</v>
      </c>
      <c r="K2147" t="str">
        <f t="shared" si="321"/>
        <v>OFF</v>
      </c>
      <c r="L2147" t="str">
        <f t="shared" si="322"/>
        <v>OFF</v>
      </c>
      <c r="M2147" t="str">
        <f t="shared" si="322"/>
        <v>OFF</v>
      </c>
      <c r="N2147" t="str">
        <f t="shared" si="322"/>
        <v>OFF</v>
      </c>
      <c r="O2147" t="str">
        <f t="shared" si="322"/>
        <v>OFF</v>
      </c>
      <c r="P2147" t="str">
        <f t="shared" si="322"/>
        <v>OFF</v>
      </c>
      <c r="Q2147" t="str">
        <f t="shared" si="322"/>
        <v>OFF</v>
      </c>
      <c r="R2147" t="str">
        <f t="shared" si="322"/>
        <v>OFF</v>
      </c>
      <c r="S2147" t="str">
        <f t="shared" si="322"/>
        <v>OFF</v>
      </c>
      <c r="T2147" t="str">
        <f t="shared" si="322"/>
        <v>OFF</v>
      </c>
      <c r="U2147" t="str">
        <f t="shared" si="322"/>
        <v>OFF</v>
      </c>
      <c r="V2147" t="str">
        <f t="shared" si="323"/>
        <v>OFF</v>
      </c>
      <c r="W2147" t="str">
        <f t="shared" si="323"/>
        <v>OFF</v>
      </c>
      <c r="X2147" t="str">
        <f t="shared" si="323"/>
        <v>OFF</v>
      </c>
      <c r="Y2147" t="str">
        <f t="shared" si="323"/>
        <v>OFF</v>
      </c>
      <c r="Z2147" t="str">
        <f t="shared" si="323"/>
        <v>OFF</v>
      </c>
      <c r="AA2147" t="str">
        <f t="shared" si="323"/>
        <v>OFF</v>
      </c>
      <c r="AB2147" t="str">
        <f t="shared" si="323"/>
        <v>OFF</v>
      </c>
      <c r="AC2147" t="str">
        <f t="shared" si="323"/>
        <v>OFF</v>
      </c>
      <c r="AD2147" t="str">
        <f t="shared" si="323"/>
        <v>OFF</v>
      </c>
      <c r="AE2147" t="str">
        <f t="shared" si="323"/>
        <v>OFF</v>
      </c>
      <c r="AF2147" t="str">
        <f t="shared" si="323"/>
        <v>OFF</v>
      </c>
      <c r="AG2147" t="str">
        <f t="shared" si="323"/>
        <v>OFF</v>
      </c>
    </row>
    <row r="2148" spans="1:33">
      <c r="A2148" t="s">
        <v>2990</v>
      </c>
      <c r="B2148" t="str">
        <f t="shared" si="321"/>
        <v>OFF</v>
      </c>
      <c r="C2148" t="str">
        <f t="shared" si="321"/>
        <v>OFF</v>
      </c>
      <c r="D2148" t="str">
        <f t="shared" si="321"/>
        <v>OFF</v>
      </c>
      <c r="E2148" t="str">
        <f t="shared" si="321"/>
        <v>OFF</v>
      </c>
      <c r="F2148" t="str">
        <f t="shared" si="321"/>
        <v>OFF</v>
      </c>
      <c r="G2148" t="str">
        <f t="shared" si="321"/>
        <v>OFF</v>
      </c>
      <c r="H2148" t="str">
        <f t="shared" si="321"/>
        <v>OFF</v>
      </c>
      <c r="I2148" t="str">
        <f t="shared" si="321"/>
        <v>OFF</v>
      </c>
      <c r="J2148" t="str">
        <f t="shared" si="321"/>
        <v>OFF</v>
      </c>
      <c r="K2148" t="str">
        <f t="shared" si="321"/>
        <v>OFF</v>
      </c>
      <c r="L2148" t="str">
        <f t="shared" si="322"/>
        <v>OFF</v>
      </c>
      <c r="M2148" t="str">
        <f t="shared" si="322"/>
        <v>OFF</v>
      </c>
      <c r="N2148" t="str">
        <f t="shared" si="322"/>
        <v>OFF</v>
      </c>
      <c r="O2148" t="str">
        <f t="shared" si="322"/>
        <v>OFF</v>
      </c>
      <c r="P2148" t="str">
        <f t="shared" si="322"/>
        <v>OFF</v>
      </c>
      <c r="Q2148" t="str">
        <f t="shared" si="322"/>
        <v>OFF</v>
      </c>
      <c r="R2148" t="str">
        <f t="shared" si="322"/>
        <v>OFF</v>
      </c>
      <c r="S2148" t="str">
        <f t="shared" si="322"/>
        <v>OFF</v>
      </c>
      <c r="T2148" t="str">
        <f t="shared" si="322"/>
        <v>OFF</v>
      </c>
      <c r="U2148" t="str">
        <f t="shared" si="322"/>
        <v>OFF</v>
      </c>
      <c r="V2148" t="str">
        <f t="shared" si="323"/>
        <v>OFF</v>
      </c>
      <c r="W2148" t="str">
        <f t="shared" si="323"/>
        <v>OFF</v>
      </c>
      <c r="X2148" t="str">
        <f t="shared" si="323"/>
        <v>OFF</v>
      </c>
      <c r="Y2148" t="str">
        <f t="shared" si="323"/>
        <v>OFF</v>
      </c>
      <c r="Z2148" t="str">
        <f t="shared" si="323"/>
        <v>OFF</v>
      </c>
      <c r="AA2148" t="str">
        <f t="shared" si="323"/>
        <v>OFF</v>
      </c>
      <c r="AB2148" t="str">
        <f t="shared" si="323"/>
        <v>OFF</v>
      </c>
      <c r="AC2148" t="str">
        <f t="shared" si="323"/>
        <v>OFF</v>
      </c>
      <c r="AD2148" t="str">
        <f t="shared" si="323"/>
        <v>OFF</v>
      </c>
      <c r="AE2148" t="str">
        <f t="shared" si="323"/>
        <v>OFF</v>
      </c>
      <c r="AF2148" t="str">
        <f t="shared" si="323"/>
        <v>OFF</v>
      </c>
      <c r="AG2148" t="str">
        <f t="shared" si="323"/>
        <v>OFF</v>
      </c>
    </row>
    <row r="2149" spans="1:33">
      <c r="A2149" t="s">
        <v>2991</v>
      </c>
      <c r="B2149" t="str">
        <f t="shared" ref="B2149:K2158" si="324">"OFF"</f>
        <v>OFF</v>
      </c>
      <c r="C2149" t="str">
        <f t="shared" si="324"/>
        <v>OFF</v>
      </c>
      <c r="D2149" t="str">
        <f t="shared" si="324"/>
        <v>OFF</v>
      </c>
      <c r="E2149" t="str">
        <f t="shared" si="324"/>
        <v>OFF</v>
      </c>
      <c r="F2149" t="str">
        <f t="shared" si="324"/>
        <v>OFF</v>
      </c>
      <c r="G2149" t="str">
        <f t="shared" si="324"/>
        <v>OFF</v>
      </c>
      <c r="H2149" t="str">
        <f t="shared" si="324"/>
        <v>OFF</v>
      </c>
      <c r="I2149" t="str">
        <f t="shared" si="324"/>
        <v>OFF</v>
      </c>
      <c r="J2149" t="str">
        <f t="shared" si="324"/>
        <v>OFF</v>
      </c>
      <c r="K2149" t="str">
        <f t="shared" si="324"/>
        <v>OFF</v>
      </c>
      <c r="L2149" t="str">
        <f t="shared" ref="L2149:U2158" si="325">"OFF"</f>
        <v>OFF</v>
      </c>
      <c r="M2149" t="str">
        <f t="shared" si="325"/>
        <v>OFF</v>
      </c>
      <c r="N2149" t="str">
        <f t="shared" si="325"/>
        <v>OFF</v>
      </c>
      <c r="O2149" t="str">
        <f t="shared" si="325"/>
        <v>OFF</v>
      </c>
      <c r="P2149" t="str">
        <f t="shared" si="325"/>
        <v>OFF</v>
      </c>
      <c r="Q2149" t="str">
        <f t="shared" si="325"/>
        <v>OFF</v>
      </c>
      <c r="R2149" t="str">
        <f t="shared" si="325"/>
        <v>OFF</v>
      </c>
      <c r="S2149" t="str">
        <f t="shared" si="325"/>
        <v>OFF</v>
      </c>
      <c r="T2149" t="str">
        <f t="shared" si="325"/>
        <v>OFF</v>
      </c>
      <c r="U2149" t="str">
        <f t="shared" si="325"/>
        <v>OFF</v>
      </c>
      <c r="V2149" t="str">
        <f t="shared" ref="V2149:AG2158" si="326">"OFF"</f>
        <v>OFF</v>
      </c>
      <c r="W2149" t="str">
        <f t="shared" si="326"/>
        <v>OFF</v>
      </c>
      <c r="X2149" t="str">
        <f t="shared" si="326"/>
        <v>OFF</v>
      </c>
      <c r="Y2149" t="str">
        <f t="shared" si="326"/>
        <v>OFF</v>
      </c>
      <c r="Z2149" t="str">
        <f t="shared" si="326"/>
        <v>OFF</v>
      </c>
      <c r="AA2149" t="str">
        <f t="shared" si="326"/>
        <v>OFF</v>
      </c>
      <c r="AB2149" t="str">
        <f t="shared" si="326"/>
        <v>OFF</v>
      </c>
      <c r="AC2149" t="str">
        <f t="shared" si="326"/>
        <v>OFF</v>
      </c>
      <c r="AD2149" t="str">
        <f t="shared" si="326"/>
        <v>OFF</v>
      </c>
      <c r="AE2149" t="str">
        <f t="shared" si="326"/>
        <v>OFF</v>
      </c>
      <c r="AF2149" t="str">
        <f t="shared" si="326"/>
        <v>OFF</v>
      </c>
      <c r="AG2149" t="str">
        <f t="shared" si="326"/>
        <v>OFF</v>
      </c>
    </row>
    <row r="2150" spans="1:33">
      <c r="A2150" t="s">
        <v>2992</v>
      </c>
      <c r="B2150" t="str">
        <f t="shared" si="324"/>
        <v>OFF</v>
      </c>
      <c r="C2150" t="str">
        <f t="shared" si="324"/>
        <v>OFF</v>
      </c>
      <c r="D2150" t="str">
        <f t="shared" si="324"/>
        <v>OFF</v>
      </c>
      <c r="E2150" t="str">
        <f t="shared" si="324"/>
        <v>OFF</v>
      </c>
      <c r="F2150" t="str">
        <f t="shared" si="324"/>
        <v>OFF</v>
      </c>
      <c r="G2150" t="str">
        <f t="shared" si="324"/>
        <v>OFF</v>
      </c>
      <c r="H2150" t="str">
        <f t="shared" si="324"/>
        <v>OFF</v>
      </c>
      <c r="I2150" t="str">
        <f t="shared" si="324"/>
        <v>OFF</v>
      </c>
      <c r="J2150" t="str">
        <f t="shared" si="324"/>
        <v>OFF</v>
      </c>
      <c r="K2150" t="str">
        <f t="shared" si="324"/>
        <v>OFF</v>
      </c>
      <c r="L2150" t="str">
        <f t="shared" si="325"/>
        <v>OFF</v>
      </c>
      <c r="M2150" t="str">
        <f t="shared" si="325"/>
        <v>OFF</v>
      </c>
      <c r="N2150" t="str">
        <f t="shared" si="325"/>
        <v>OFF</v>
      </c>
      <c r="O2150" t="str">
        <f t="shared" si="325"/>
        <v>OFF</v>
      </c>
      <c r="P2150" t="str">
        <f t="shared" si="325"/>
        <v>OFF</v>
      </c>
      <c r="Q2150" t="str">
        <f t="shared" si="325"/>
        <v>OFF</v>
      </c>
      <c r="R2150" t="str">
        <f t="shared" si="325"/>
        <v>OFF</v>
      </c>
      <c r="S2150" t="str">
        <f t="shared" si="325"/>
        <v>OFF</v>
      </c>
      <c r="T2150" t="str">
        <f t="shared" si="325"/>
        <v>OFF</v>
      </c>
      <c r="U2150" t="str">
        <f t="shared" si="325"/>
        <v>OFF</v>
      </c>
      <c r="V2150" t="str">
        <f t="shared" si="326"/>
        <v>OFF</v>
      </c>
      <c r="W2150" t="str">
        <f t="shared" si="326"/>
        <v>OFF</v>
      </c>
      <c r="X2150" t="str">
        <f t="shared" si="326"/>
        <v>OFF</v>
      </c>
      <c r="Y2150" t="str">
        <f t="shared" si="326"/>
        <v>OFF</v>
      </c>
      <c r="Z2150" t="str">
        <f t="shared" si="326"/>
        <v>OFF</v>
      </c>
      <c r="AA2150" t="str">
        <f t="shared" si="326"/>
        <v>OFF</v>
      </c>
      <c r="AB2150" t="str">
        <f t="shared" si="326"/>
        <v>OFF</v>
      </c>
      <c r="AC2150" t="str">
        <f t="shared" si="326"/>
        <v>OFF</v>
      </c>
      <c r="AD2150" t="str">
        <f t="shared" si="326"/>
        <v>OFF</v>
      </c>
      <c r="AE2150" t="str">
        <f t="shared" si="326"/>
        <v>OFF</v>
      </c>
      <c r="AF2150" t="str">
        <f t="shared" si="326"/>
        <v>OFF</v>
      </c>
      <c r="AG2150" t="str">
        <f t="shared" si="326"/>
        <v>OFF</v>
      </c>
    </row>
    <row r="2151" spans="1:33">
      <c r="A2151" t="s">
        <v>2993</v>
      </c>
      <c r="B2151" t="str">
        <f t="shared" si="324"/>
        <v>OFF</v>
      </c>
      <c r="C2151" t="str">
        <f t="shared" si="324"/>
        <v>OFF</v>
      </c>
      <c r="D2151" t="str">
        <f t="shared" si="324"/>
        <v>OFF</v>
      </c>
      <c r="E2151" t="str">
        <f t="shared" si="324"/>
        <v>OFF</v>
      </c>
      <c r="F2151" t="str">
        <f t="shared" si="324"/>
        <v>OFF</v>
      </c>
      <c r="G2151" t="str">
        <f t="shared" si="324"/>
        <v>OFF</v>
      </c>
      <c r="H2151" t="str">
        <f t="shared" si="324"/>
        <v>OFF</v>
      </c>
      <c r="I2151" t="str">
        <f t="shared" si="324"/>
        <v>OFF</v>
      </c>
      <c r="J2151" t="str">
        <f t="shared" si="324"/>
        <v>OFF</v>
      </c>
      <c r="K2151" t="str">
        <f t="shared" si="324"/>
        <v>OFF</v>
      </c>
      <c r="L2151" t="str">
        <f t="shared" si="325"/>
        <v>OFF</v>
      </c>
      <c r="M2151" t="str">
        <f t="shared" si="325"/>
        <v>OFF</v>
      </c>
      <c r="N2151" t="str">
        <f t="shared" si="325"/>
        <v>OFF</v>
      </c>
      <c r="O2151" t="str">
        <f t="shared" si="325"/>
        <v>OFF</v>
      </c>
      <c r="P2151" t="str">
        <f t="shared" si="325"/>
        <v>OFF</v>
      </c>
      <c r="Q2151" t="str">
        <f t="shared" si="325"/>
        <v>OFF</v>
      </c>
      <c r="R2151" t="str">
        <f t="shared" si="325"/>
        <v>OFF</v>
      </c>
      <c r="S2151" t="str">
        <f t="shared" si="325"/>
        <v>OFF</v>
      </c>
      <c r="T2151" t="str">
        <f t="shared" si="325"/>
        <v>OFF</v>
      </c>
      <c r="U2151" t="str">
        <f t="shared" si="325"/>
        <v>OFF</v>
      </c>
      <c r="V2151" t="str">
        <f t="shared" si="326"/>
        <v>OFF</v>
      </c>
      <c r="W2151" t="str">
        <f t="shared" si="326"/>
        <v>OFF</v>
      </c>
      <c r="X2151" t="str">
        <f t="shared" si="326"/>
        <v>OFF</v>
      </c>
      <c r="Y2151" t="str">
        <f t="shared" si="326"/>
        <v>OFF</v>
      </c>
      <c r="Z2151" t="str">
        <f t="shared" si="326"/>
        <v>OFF</v>
      </c>
      <c r="AA2151" t="str">
        <f t="shared" si="326"/>
        <v>OFF</v>
      </c>
      <c r="AB2151" t="str">
        <f t="shared" si="326"/>
        <v>OFF</v>
      </c>
      <c r="AC2151" t="str">
        <f t="shared" si="326"/>
        <v>OFF</v>
      </c>
      <c r="AD2151" t="str">
        <f t="shared" si="326"/>
        <v>OFF</v>
      </c>
      <c r="AE2151" t="str">
        <f t="shared" si="326"/>
        <v>OFF</v>
      </c>
      <c r="AF2151" t="str">
        <f t="shared" si="326"/>
        <v>OFF</v>
      </c>
      <c r="AG2151" t="str">
        <f t="shared" si="326"/>
        <v>OFF</v>
      </c>
    </row>
    <row r="2152" spans="1:33">
      <c r="A2152" t="s">
        <v>2994</v>
      </c>
      <c r="B2152" t="str">
        <f t="shared" si="324"/>
        <v>OFF</v>
      </c>
      <c r="C2152" t="str">
        <f t="shared" si="324"/>
        <v>OFF</v>
      </c>
      <c r="D2152" t="str">
        <f t="shared" si="324"/>
        <v>OFF</v>
      </c>
      <c r="E2152" t="str">
        <f t="shared" si="324"/>
        <v>OFF</v>
      </c>
      <c r="F2152" t="str">
        <f t="shared" si="324"/>
        <v>OFF</v>
      </c>
      <c r="G2152" t="str">
        <f t="shared" si="324"/>
        <v>OFF</v>
      </c>
      <c r="H2152" t="str">
        <f t="shared" si="324"/>
        <v>OFF</v>
      </c>
      <c r="I2152" t="str">
        <f t="shared" si="324"/>
        <v>OFF</v>
      </c>
      <c r="J2152" t="str">
        <f t="shared" si="324"/>
        <v>OFF</v>
      </c>
      <c r="K2152" t="str">
        <f t="shared" si="324"/>
        <v>OFF</v>
      </c>
      <c r="L2152" t="str">
        <f t="shared" si="325"/>
        <v>OFF</v>
      </c>
      <c r="M2152" t="str">
        <f t="shared" si="325"/>
        <v>OFF</v>
      </c>
      <c r="N2152" t="str">
        <f t="shared" si="325"/>
        <v>OFF</v>
      </c>
      <c r="O2152" t="str">
        <f t="shared" si="325"/>
        <v>OFF</v>
      </c>
      <c r="P2152" t="str">
        <f t="shared" si="325"/>
        <v>OFF</v>
      </c>
      <c r="Q2152" t="str">
        <f t="shared" si="325"/>
        <v>OFF</v>
      </c>
      <c r="R2152" t="str">
        <f t="shared" si="325"/>
        <v>OFF</v>
      </c>
      <c r="S2152" t="str">
        <f t="shared" si="325"/>
        <v>OFF</v>
      </c>
      <c r="T2152" t="str">
        <f t="shared" si="325"/>
        <v>OFF</v>
      </c>
      <c r="U2152" t="str">
        <f t="shared" si="325"/>
        <v>OFF</v>
      </c>
      <c r="V2152" t="str">
        <f t="shared" si="326"/>
        <v>OFF</v>
      </c>
      <c r="W2152" t="str">
        <f t="shared" si="326"/>
        <v>OFF</v>
      </c>
      <c r="X2152" t="str">
        <f t="shared" si="326"/>
        <v>OFF</v>
      </c>
      <c r="Y2152" t="str">
        <f t="shared" si="326"/>
        <v>OFF</v>
      </c>
      <c r="Z2152" t="str">
        <f t="shared" si="326"/>
        <v>OFF</v>
      </c>
      <c r="AA2152" t="str">
        <f t="shared" si="326"/>
        <v>OFF</v>
      </c>
      <c r="AB2152" t="str">
        <f t="shared" si="326"/>
        <v>OFF</v>
      </c>
      <c r="AC2152" t="str">
        <f t="shared" si="326"/>
        <v>OFF</v>
      </c>
      <c r="AD2152" t="str">
        <f t="shared" si="326"/>
        <v>OFF</v>
      </c>
      <c r="AE2152" t="str">
        <f t="shared" si="326"/>
        <v>OFF</v>
      </c>
      <c r="AF2152" t="str">
        <f t="shared" si="326"/>
        <v>OFF</v>
      </c>
      <c r="AG2152" t="str">
        <f t="shared" si="326"/>
        <v>OFF</v>
      </c>
    </row>
    <row r="2153" spans="1:33">
      <c r="A2153" t="s">
        <v>2995</v>
      </c>
      <c r="B2153" t="str">
        <f t="shared" si="324"/>
        <v>OFF</v>
      </c>
      <c r="C2153" t="str">
        <f t="shared" si="324"/>
        <v>OFF</v>
      </c>
      <c r="D2153" t="str">
        <f t="shared" si="324"/>
        <v>OFF</v>
      </c>
      <c r="E2153" t="str">
        <f t="shared" si="324"/>
        <v>OFF</v>
      </c>
      <c r="F2153" t="str">
        <f t="shared" si="324"/>
        <v>OFF</v>
      </c>
      <c r="G2153" t="str">
        <f t="shared" si="324"/>
        <v>OFF</v>
      </c>
      <c r="H2153" t="str">
        <f t="shared" si="324"/>
        <v>OFF</v>
      </c>
      <c r="I2153" t="str">
        <f t="shared" si="324"/>
        <v>OFF</v>
      </c>
      <c r="J2153" t="str">
        <f t="shared" si="324"/>
        <v>OFF</v>
      </c>
      <c r="K2153" t="str">
        <f t="shared" si="324"/>
        <v>OFF</v>
      </c>
      <c r="L2153" t="str">
        <f t="shared" si="325"/>
        <v>OFF</v>
      </c>
      <c r="M2153" t="str">
        <f t="shared" si="325"/>
        <v>OFF</v>
      </c>
      <c r="N2153" t="str">
        <f t="shared" si="325"/>
        <v>OFF</v>
      </c>
      <c r="O2153" t="str">
        <f t="shared" si="325"/>
        <v>OFF</v>
      </c>
      <c r="P2153" t="str">
        <f t="shared" si="325"/>
        <v>OFF</v>
      </c>
      <c r="Q2153" t="str">
        <f t="shared" si="325"/>
        <v>OFF</v>
      </c>
      <c r="R2153" t="str">
        <f t="shared" si="325"/>
        <v>OFF</v>
      </c>
      <c r="S2153" t="str">
        <f t="shared" si="325"/>
        <v>OFF</v>
      </c>
      <c r="T2153" t="str">
        <f t="shared" si="325"/>
        <v>OFF</v>
      </c>
      <c r="U2153" t="str">
        <f t="shared" si="325"/>
        <v>OFF</v>
      </c>
      <c r="V2153" t="str">
        <f t="shared" si="326"/>
        <v>OFF</v>
      </c>
      <c r="W2153" t="str">
        <f t="shared" si="326"/>
        <v>OFF</v>
      </c>
      <c r="X2153" t="str">
        <f t="shared" si="326"/>
        <v>OFF</v>
      </c>
      <c r="Y2153" t="str">
        <f t="shared" si="326"/>
        <v>OFF</v>
      </c>
      <c r="Z2153" t="str">
        <f t="shared" si="326"/>
        <v>OFF</v>
      </c>
      <c r="AA2153" t="str">
        <f t="shared" si="326"/>
        <v>OFF</v>
      </c>
      <c r="AB2153" t="str">
        <f t="shared" si="326"/>
        <v>OFF</v>
      </c>
      <c r="AC2153" t="str">
        <f t="shared" si="326"/>
        <v>OFF</v>
      </c>
      <c r="AD2153" t="str">
        <f t="shared" si="326"/>
        <v>OFF</v>
      </c>
      <c r="AE2153" t="str">
        <f t="shared" si="326"/>
        <v>OFF</v>
      </c>
      <c r="AF2153" t="str">
        <f t="shared" si="326"/>
        <v>OFF</v>
      </c>
      <c r="AG2153" t="str">
        <f t="shared" si="326"/>
        <v>OFF</v>
      </c>
    </row>
    <row r="2154" spans="1:33">
      <c r="A2154" t="s">
        <v>2996</v>
      </c>
      <c r="B2154" t="str">
        <f t="shared" si="324"/>
        <v>OFF</v>
      </c>
      <c r="C2154" t="str">
        <f t="shared" si="324"/>
        <v>OFF</v>
      </c>
      <c r="D2154" t="str">
        <f t="shared" si="324"/>
        <v>OFF</v>
      </c>
      <c r="E2154" t="str">
        <f t="shared" si="324"/>
        <v>OFF</v>
      </c>
      <c r="F2154" t="str">
        <f t="shared" si="324"/>
        <v>OFF</v>
      </c>
      <c r="G2154" t="str">
        <f t="shared" si="324"/>
        <v>OFF</v>
      </c>
      <c r="H2154" t="str">
        <f t="shared" si="324"/>
        <v>OFF</v>
      </c>
      <c r="I2154" t="str">
        <f t="shared" si="324"/>
        <v>OFF</v>
      </c>
      <c r="J2154" t="str">
        <f t="shared" si="324"/>
        <v>OFF</v>
      </c>
      <c r="K2154" t="str">
        <f t="shared" si="324"/>
        <v>OFF</v>
      </c>
      <c r="L2154" t="str">
        <f t="shared" si="325"/>
        <v>OFF</v>
      </c>
      <c r="M2154" t="str">
        <f t="shared" si="325"/>
        <v>OFF</v>
      </c>
      <c r="N2154" t="str">
        <f t="shared" si="325"/>
        <v>OFF</v>
      </c>
      <c r="O2154" t="str">
        <f t="shared" si="325"/>
        <v>OFF</v>
      </c>
      <c r="P2154" t="str">
        <f t="shared" si="325"/>
        <v>OFF</v>
      </c>
      <c r="Q2154" t="str">
        <f t="shared" si="325"/>
        <v>OFF</v>
      </c>
      <c r="R2154" t="str">
        <f t="shared" si="325"/>
        <v>OFF</v>
      </c>
      <c r="S2154" t="str">
        <f t="shared" si="325"/>
        <v>OFF</v>
      </c>
      <c r="T2154" t="str">
        <f t="shared" si="325"/>
        <v>OFF</v>
      </c>
      <c r="U2154" t="str">
        <f t="shared" si="325"/>
        <v>OFF</v>
      </c>
      <c r="V2154" t="str">
        <f t="shared" si="326"/>
        <v>OFF</v>
      </c>
      <c r="W2154" t="str">
        <f t="shared" si="326"/>
        <v>OFF</v>
      </c>
      <c r="X2154" t="str">
        <f t="shared" si="326"/>
        <v>OFF</v>
      </c>
      <c r="Y2154" t="str">
        <f t="shared" si="326"/>
        <v>OFF</v>
      </c>
      <c r="Z2154" t="str">
        <f t="shared" si="326"/>
        <v>OFF</v>
      </c>
      <c r="AA2154" t="str">
        <f t="shared" si="326"/>
        <v>OFF</v>
      </c>
      <c r="AB2154" t="str">
        <f t="shared" si="326"/>
        <v>OFF</v>
      </c>
      <c r="AC2154" t="str">
        <f t="shared" si="326"/>
        <v>OFF</v>
      </c>
      <c r="AD2154" t="str">
        <f t="shared" si="326"/>
        <v>OFF</v>
      </c>
      <c r="AE2154" t="str">
        <f t="shared" si="326"/>
        <v>OFF</v>
      </c>
      <c r="AF2154" t="str">
        <f t="shared" si="326"/>
        <v>OFF</v>
      </c>
      <c r="AG2154" t="str">
        <f t="shared" si="326"/>
        <v>OFF</v>
      </c>
    </row>
    <row r="2155" spans="1:33">
      <c r="A2155" t="s">
        <v>2997</v>
      </c>
      <c r="B2155" t="str">
        <f t="shared" si="324"/>
        <v>OFF</v>
      </c>
      <c r="C2155" t="str">
        <f t="shared" si="324"/>
        <v>OFF</v>
      </c>
      <c r="D2155" t="str">
        <f t="shared" si="324"/>
        <v>OFF</v>
      </c>
      <c r="E2155" t="str">
        <f t="shared" si="324"/>
        <v>OFF</v>
      </c>
      <c r="F2155" t="str">
        <f t="shared" si="324"/>
        <v>OFF</v>
      </c>
      <c r="G2155" t="str">
        <f t="shared" si="324"/>
        <v>OFF</v>
      </c>
      <c r="H2155" t="str">
        <f t="shared" si="324"/>
        <v>OFF</v>
      </c>
      <c r="I2155" t="str">
        <f t="shared" si="324"/>
        <v>OFF</v>
      </c>
      <c r="J2155" t="str">
        <f t="shared" si="324"/>
        <v>OFF</v>
      </c>
      <c r="K2155" t="str">
        <f t="shared" si="324"/>
        <v>OFF</v>
      </c>
      <c r="L2155" t="str">
        <f t="shared" si="325"/>
        <v>OFF</v>
      </c>
      <c r="M2155" t="str">
        <f t="shared" si="325"/>
        <v>OFF</v>
      </c>
      <c r="N2155" t="str">
        <f t="shared" si="325"/>
        <v>OFF</v>
      </c>
      <c r="O2155" t="str">
        <f t="shared" si="325"/>
        <v>OFF</v>
      </c>
      <c r="P2155" t="str">
        <f t="shared" si="325"/>
        <v>OFF</v>
      </c>
      <c r="Q2155" t="str">
        <f t="shared" si="325"/>
        <v>OFF</v>
      </c>
      <c r="R2155" t="str">
        <f t="shared" si="325"/>
        <v>OFF</v>
      </c>
      <c r="S2155" t="str">
        <f t="shared" si="325"/>
        <v>OFF</v>
      </c>
      <c r="T2155" t="str">
        <f t="shared" si="325"/>
        <v>OFF</v>
      </c>
      <c r="U2155" t="str">
        <f t="shared" si="325"/>
        <v>OFF</v>
      </c>
      <c r="V2155" t="str">
        <f t="shared" si="326"/>
        <v>OFF</v>
      </c>
      <c r="W2155" t="str">
        <f t="shared" si="326"/>
        <v>OFF</v>
      </c>
      <c r="X2155" t="str">
        <f t="shared" si="326"/>
        <v>OFF</v>
      </c>
      <c r="Y2155" t="str">
        <f t="shared" si="326"/>
        <v>OFF</v>
      </c>
      <c r="Z2155" t="str">
        <f t="shared" si="326"/>
        <v>OFF</v>
      </c>
      <c r="AA2155" t="str">
        <f t="shared" si="326"/>
        <v>OFF</v>
      </c>
      <c r="AB2155" t="str">
        <f t="shared" si="326"/>
        <v>OFF</v>
      </c>
      <c r="AC2155" t="str">
        <f t="shared" si="326"/>
        <v>OFF</v>
      </c>
      <c r="AD2155" t="str">
        <f t="shared" si="326"/>
        <v>OFF</v>
      </c>
      <c r="AE2155" t="str">
        <f t="shared" si="326"/>
        <v>OFF</v>
      </c>
      <c r="AF2155" t="str">
        <f t="shared" si="326"/>
        <v>OFF</v>
      </c>
      <c r="AG2155" t="str">
        <f t="shared" si="326"/>
        <v>OFF</v>
      </c>
    </row>
    <row r="2156" spans="1:33">
      <c r="A2156" t="s">
        <v>2998</v>
      </c>
      <c r="B2156" t="str">
        <f t="shared" si="324"/>
        <v>OFF</v>
      </c>
      <c r="C2156" t="str">
        <f t="shared" si="324"/>
        <v>OFF</v>
      </c>
      <c r="D2156" t="str">
        <f t="shared" si="324"/>
        <v>OFF</v>
      </c>
      <c r="E2156" t="str">
        <f t="shared" si="324"/>
        <v>OFF</v>
      </c>
      <c r="F2156" t="str">
        <f t="shared" si="324"/>
        <v>OFF</v>
      </c>
      <c r="G2156" t="str">
        <f t="shared" si="324"/>
        <v>OFF</v>
      </c>
      <c r="H2156" t="str">
        <f t="shared" si="324"/>
        <v>OFF</v>
      </c>
      <c r="I2156" t="str">
        <f t="shared" si="324"/>
        <v>OFF</v>
      </c>
      <c r="J2156" t="str">
        <f t="shared" si="324"/>
        <v>OFF</v>
      </c>
      <c r="K2156" t="str">
        <f t="shared" si="324"/>
        <v>OFF</v>
      </c>
      <c r="L2156" t="str">
        <f t="shared" si="325"/>
        <v>OFF</v>
      </c>
      <c r="M2156" t="str">
        <f t="shared" si="325"/>
        <v>OFF</v>
      </c>
      <c r="N2156" t="str">
        <f t="shared" si="325"/>
        <v>OFF</v>
      </c>
      <c r="O2156" t="str">
        <f t="shared" si="325"/>
        <v>OFF</v>
      </c>
      <c r="P2156" t="str">
        <f t="shared" si="325"/>
        <v>OFF</v>
      </c>
      <c r="Q2156" t="str">
        <f t="shared" si="325"/>
        <v>OFF</v>
      </c>
      <c r="R2156" t="str">
        <f t="shared" si="325"/>
        <v>OFF</v>
      </c>
      <c r="S2156" t="str">
        <f t="shared" si="325"/>
        <v>OFF</v>
      </c>
      <c r="T2156" t="str">
        <f t="shared" si="325"/>
        <v>OFF</v>
      </c>
      <c r="U2156" t="str">
        <f t="shared" si="325"/>
        <v>OFF</v>
      </c>
      <c r="V2156" t="str">
        <f t="shared" si="326"/>
        <v>OFF</v>
      </c>
      <c r="W2156" t="str">
        <f t="shared" si="326"/>
        <v>OFF</v>
      </c>
      <c r="X2156" t="str">
        <f t="shared" si="326"/>
        <v>OFF</v>
      </c>
      <c r="Y2156" t="str">
        <f t="shared" si="326"/>
        <v>OFF</v>
      </c>
      <c r="Z2156" t="str">
        <f t="shared" si="326"/>
        <v>OFF</v>
      </c>
      <c r="AA2156" t="str">
        <f t="shared" si="326"/>
        <v>OFF</v>
      </c>
      <c r="AB2156" t="str">
        <f t="shared" si="326"/>
        <v>OFF</v>
      </c>
      <c r="AC2156" t="str">
        <f t="shared" si="326"/>
        <v>OFF</v>
      </c>
      <c r="AD2156" t="str">
        <f t="shared" si="326"/>
        <v>OFF</v>
      </c>
      <c r="AE2156" t="str">
        <f t="shared" si="326"/>
        <v>OFF</v>
      </c>
      <c r="AF2156" t="str">
        <f t="shared" si="326"/>
        <v>OFF</v>
      </c>
      <c r="AG2156" t="str">
        <f t="shared" si="326"/>
        <v>OFF</v>
      </c>
    </row>
    <row r="2157" spans="1:33">
      <c r="A2157" t="s">
        <v>2999</v>
      </c>
      <c r="B2157" t="str">
        <f t="shared" si="324"/>
        <v>OFF</v>
      </c>
      <c r="C2157" t="str">
        <f t="shared" si="324"/>
        <v>OFF</v>
      </c>
      <c r="D2157" t="str">
        <f t="shared" si="324"/>
        <v>OFF</v>
      </c>
      <c r="E2157" t="str">
        <f t="shared" si="324"/>
        <v>OFF</v>
      </c>
      <c r="F2157" t="str">
        <f t="shared" si="324"/>
        <v>OFF</v>
      </c>
      <c r="G2157" t="str">
        <f t="shared" si="324"/>
        <v>OFF</v>
      </c>
      <c r="H2157" t="str">
        <f t="shared" si="324"/>
        <v>OFF</v>
      </c>
      <c r="I2157" t="str">
        <f t="shared" si="324"/>
        <v>OFF</v>
      </c>
      <c r="J2157" t="str">
        <f t="shared" si="324"/>
        <v>OFF</v>
      </c>
      <c r="K2157" t="str">
        <f t="shared" si="324"/>
        <v>OFF</v>
      </c>
      <c r="L2157" t="str">
        <f t="shared" si="325"/>
        <v>OFF</v>
      </c>
      <c r="M2157" t="str">
        <f t="shared" si="325"/>
        <v>OFF</v>
      </c>
      <c r="N2157" t="str">
        <f t="shared" si="325"/>
        <v>OFF</v>
      </c>
      <c r="O2157" t="str">
        <f t="shared" si="325"/>
        <v>OFF</v>
      </c>
      <c r="P2157" t="str">
        <f t="shared" si="325"/>
        <v>OFF</v>
      </c>
      <c r="Q2157" t="str">
        <f t="shared" si="325"/>
        <v>OFF</v>
      </c>
      <c r="R2157" t="str">
        <f t="shared" si="325"/>
        <v>OFF</v>
      </c>
      <c r="S2157" t="str">
        <f t="shared" si="325"/>
        <v>OFF</v>
      </c>
      <c r="T2157" t="str">
        <f t="shared" si="325"/>
        <v>OFF</v>
      </c>
      <c r="U2157" t="str">
        <f t="shared" si="325"/>
        <v>OFF</v>
      </c>
      <c r="V2157" t="str">
        <f t="shared" si="326"/>
        <v>OFF</v>
      </c>
      <c r="W2157" t="str">
        <f t="shared" si="326"/>
        <v>OFF</v>
      </c>
      <c r="X2157" t="str">
        <f t="shared" si="326"/>
        <v>OFF</v>
      </c>
      <c r="Y2157" t="str">
        <f t="shared" si="326"/>
        <v>OFF</v>
      </c>
      <c r="Z2157" t="str">
        <f t="shared" si="326"/>
        <v>OFF</v>
      </c>
      <c r="AA2157" t="str">
        <f t="shared" si="326"/>
        <v>OFF</v>
      </c>
      <c r="AB2157" t="str">
        <f t="shared" si="326"/>
        <v>OFF</v>
      </c>
      <c r="AC2157" t="str">
        <f t="shared" si="326"/>
        <v>OFF</v>
      </c>
      <c r="AD2157" t="str">
        <f t="shared" si="326"/>
        <v>OFF</v>
      </c>
      <c r="AE2157" t="str">
        <f t="shared" si="326"/>
        <v>OFF</v>
      </c>
      <c r="AF2157" t="str">
        <f t="shared" si="326"/>
        <v>OFF</v>
      </c>
      <c r="AG2157" t="str">
        <f t="shared" si="326"/>
        <v>OFF</v>
      </c>
    </row>
    <row r="2158" spans="1:33">
      <c r="A2158" t="s">
        <v>3000</v>
      </c>
      <c r="B2158" t="str">
        <f t="shared" si="324"/>
        <v>OFF</v>
      </c>
      <c r="C2158" t="str">
        <f t="shared" si="324"/>
        <v>OFF</v>
      </c>
      <c r="D2158" t="str">
        <f t="shared" si="324"/>
        <v>OFF</v>
      </c>
      <c r="E2158" t="str">
        <f t="shared" si="324"/>
        <v>OFF</v>
      </c>
      <c r="F2158" t="str">
        <f t="shared" si="324"/>
        <v>OFF</v>
      </c>
      <c r="G2158" t="str">
        <f t="shared" si="324"/>
        <v>OFF</v>
      </c>
      <c r="H2158" t="str">
        <f t="shared" si="324"/>
        <v>OFF</v>
      </c>
      <c r="I2158" t="str">
        <f t="shared" si="324"/>
        <v>OFF</v>
      </c>
      <c r="J2158" t="str">
        <f t="shared" si="324"/>
        <v>OFF</v>
      </c>
      <c r="K2158" t="str">
        <f t="shared" si="324"/>
        <v>OFF</v>
      </c>
      <c r="L2158" t="str">
        <f t="shared" si="325"/>
        <v>OFF</v>
      </c>
      <c r="M2158" t="str">
        <f t="shared" si="325"/>
        <v>OFF</v>
      </c>
      <c r="N2158" t="str">
        <f t="shared" si="325"/>
        <v>OFF</v>
      </c>
      <c r="O2158" t="str">
        <f t="shared" si="325"/>
        <v>OFF</v>
      </c>
      <c r="P2158" t="str">
        <f t="shared" si="325"/>
        <v>OFF</v>
      </c>
      <c r="Q2158" t="str">
        <f t="shared" si="325"/>
        <v>OFF</v>
      </c>
      <c r="R2158" t="str">
        <f t="shared" si="325"/>
        <v>OFF</v>
      </c>
      <c r="S2158" t="str">
        <f t="shared" si="325"/>
        <v>OFF</v>
      </c>
      <c r="T2158" t="str">
        <f t="shared" si="325"/>
        <v>OFF</v>
      </c>
      <c r="U2158" t="str">
        <f t="shared" si="325"/>
        <v>OFF</v>
      </c>
      <c r="V2158" t="str">
        <f t="shared" si="326"/>
        <v>OFF</v>
      </c>
      <c r="W2158" t="str">
        <f t="shared" si="326"/>
        <v>OFF</v>
      </c>
      <c r="X2158" t="str">
        <f t="shared" si="326"/>
        <v>OFF</v>
      </c>
      <c r="Y2158" t="str">
        <f t="shared" si="326"/>
        <v>OFF</v>
      </c>
      <c r="Z2158" t="str">
        <f t="shared" si="326"/>
        <v>OFF</v>
      </c>
      <c r="AA2158" t="str">
        <f t="shared" si="326"/>
        <v>OFF</v>
      </c>
      <c r="AB2158" t="str">
        <f t="shared" si="326"/>
        <v>OFF</v>
      </c>
      <c r="AC2158" t="str">
        <f t="shared" si="326"/>
        <v>OFF</v>
      </c>
      <c r="AD2158" t="str">
        <f t="shared" si="326"/>
        <v>OFF</v>
      </c>
      <c r="AE2158" t="str">
        <f t="shared" si="326"/>
        <v>OFF</v>
      </c>
      <c r="AF2158" t="str">
        <f t="shared" si="326"/>
        <v>OFF</v>
      </c>
      <c r="AG2158" t="str">
        <f t="shared" si="326"/>
        <v>OFF</v>
      </c>
    </row>
    <row r="2159" spans="1:33">
      <c r="A2159" t="s">
        <v>3001</v>
      </c>
      <c r="B2159" t="str">
        <f t="shared" ref="B2159:K2168" si="327">"OFF"</f>
        <v>OFF</v>
      </c>
      <c r="C2159" t="str">
        <f t="shared" si="327"/>
        <v>OFF</v>
      </c>
      <c r="D2159" t="str">
        <f t="shared" si="327"/>
        <v>OFF</v>
      </c>
      <c r="E2159" t="str">
        <f t="shared" si="327"/>
        <v>OFF</v>
      </c>
      <c r="F2159" t="str">
        <f t="shared" si="327"/>
        <v>OFF</v>
      </c>
      <c r="G2159" t="str">
        <f t="shared" si="327"/>
        <v>OFF</v>
      </c>
      <c r="H2159" t="str">
        <f t="shared" si="327"/>
        <v>OFF</v>
      </c>
      <c r="I2159" t="str">
        <f t="shared" si="327"/>
        <v>OFF</v>
      </c>
      <c r="J2159" t="str">
        <f t="shared" si="327"/>
        <v>OFF</v>
      </c>
      <c r="K2159" t="str">
        <f t="shared" si="327"/>
        <v>OFF</v>
      </c>
      <c r="L2159" t="str">
        <f t="shared" ref="L2159:U2168" si="328">"OFF"</f>
        <v>OFF</v>
      </c>
      <c r="M2159" t="str">
        <f t="shared" si="328"/>
        <v>OFF</v>
      </c>
      <c r="N2159" t="str">
        <f t="shared" si="328"/>
        <v>OFF</v>
      </c>
      <c r="O2159" t="str">
        <f t="shared" si="328"/>
        <v>OFF</v>
      </c>
      <c r="P2159" t="str">
        <f t="shared" si="328"/>
        <v>OFF</v>
      </c>
      <c r="Q2159" t="str">
        <f t="shared" si="328"/>
        <v>OFF</v>
      </c>
      <c r="R2159" t="str">
        <f t="shared" si="328"/>
        <v>OFF</v>
      </c>
      <c r="S2159" t="str">
        <f t="shared" si="328"/>
        <v>OFF</v>
      </c>
      <c r="T2159" t="str">
        <f t="shared" si="328"/>
        <v>OFF</v>
      </c>
      <c r="U2159" t="str">
        <f t="shared" si="328"/>
        <v>OFF</v>
      </c>
      <c r="V2159" t="str">
        <f t="shared" ref="V2159:AG2168" si="329">"OFF"</f>
        <v>OFF</v>
      </c>
      <c r="W2159" t="str">
        <f t="shared" si="329"/>
        <v>OFF</v>
      </c>
      <c r="X2159" t="str">
        <f t="shared" si="329"/>
        <v>OFF</v>
      </c>
      <c r="Y2159" t="str">
        <f t="shared" si="329"/>
        <v>OFF</v>
      </c>
      <c r="Z2159" t="str">
        <f t="shared" si="329"/>
        <v>OFF</v>
      </c>
      <c r="AA2159" t="str">
        <f t="shared" si="329"/>
        <v>OFF</v>
      </c>
      <c r="AB2159" t="str">
        <f t="shared" si="329"/>
        <v>OFF</v>
      </c>
      <c r="AC2159" t="str">
        <f t="shared" si="329"/>
        <v>OFF</v>
      </c>
      <c r="AD2159" t="str">
        <f t="shared" si="329"/>
        <v>OFF</v>
      </c>
      <c r="AE2159" t="str">
        <f t="shared" si="329"/>
        <v>OFF</v>
      </c>
      <c r="AF2159" t="str">
        <f t="shared" si="329"/>
        <v>OFF</v>
      </c>
      <c r="AG2159" t="str">
        <f t="shared" si="329"/>
        <v>OFF</v>
      </c>
    </row>
    <row r="2160" spans="1:33">
      <c r="A2160" t="s">
        <v>3002</v>
      </c>
      <c r="B2160" t="str">
        <f t="shared" si="327"/>
        <v>OFF</v>
      </c>
      <c r="C2160" t="str">
        <f t="shared" si="327"/>
        <v>OFF</v>
      </c>
      <c r="D2160" t="str">
        <f t="shared" si="327"/>
        <v>OFF</v>
      </c>
      <c r="E2160" t="str">
        <f t="shared" si="327"/>
        <v>OFF</v>
      </c>
      <c r="F2160" t="str">
        <f t="shared" si="327"/>
        <v>OFF</v>
      </c>
      <c r="G2160" t="str">
        <f t="shared" si="327"/>
        <v>OFF</v>
      </c>
      <c r="H2160" t="str">
        <f t="shared" si="327"/>
        <v>OFF</v>
      </c>
      <c r="I2160" t="str">
        <f t="shared" si="327"/>
        <v>OFF</v>
      </c>
      <c r="J2160" t="str">
        <f t="shared" si="327"/>
        <v>OFF</v>
      </c>
      <c r="K2160" t="str">
        <f t="shared" si="327"/>
        <v>OFF</v>
      </c>
      <c r="L2160" t="str">
        <f t="shared" si="328"/>
        <v>OFF</v>
      </c>
      <c r="M2160" t="str">
        <f t="shared" si="328"/>
        <v>OFF</v>
      </c>
      <c r="N2160" t="str">
        <f t="shared" si="328"/>
        <v>OFF</v>
      </c>
      <c r="O2160" t="str">
        <f t="shared" si="328"/>
        <v>OFF</v>
      </c>
      <c r="P2160" t="str">
        <f t="shared" si="328"/>
        <v>OFF</v>
      </c>
      <c r="Q2160" t="str">
        <f t="shared" si="328"/>
        <v>OFF</v>
      </c>
      <c r="R2160" t="str">
        <f t="shared" si="328"/>
        <v>OFF</v>
      </c>
      <c r="S2160" t="str">
        <f t="shared" si="328"/>
        <v>OFF</v>
      </c>
      <c r="T2160" t="str">
        <f t="shared" si="328"/>
        <v>OFF</v>
      </c>
      <c r="U2160" t="str">
        <f t="shared" si="328"/>
        <v>OFF</v>
      </c>
      <c r="V2160" t="str">
        <f t="shared" si="329"/>
        <v>OFF</v>
      </c>
      <c r="W2160" t="str">
        <f t="shared" si="329"/>
        <v>OFF</v>
      </c>
      <c r="X2160" t="str">
        <f t="shared" si="329"/>
        <v>OFF</v>
      </c>
      <c r="Y2160" t="str">
        <f t="shared" si="329"/>
        <v>OFF</v>
      </c>
      <c r="Z2160" t="str">
        <f t="shared" si="329"/>
        <v>OFF</v>
      </c>
      <c r="AA2160" t="str">
        <f t="shared" si="329"/>
        <v>OFF</v>
      </c>
      <c r="AB2160" t="str">
        <f t="shared" si="329"/>
        <v>OFF</v>
      </c>
      <c r="AC2160" t="str">
        <f t="shared" si="329"/>
        <v>OFF</v>
      </c>
      <c r="AD2160" t="str">
        <f t="shared" si="329"/>
        <v>OFF</v>
      </c>
      <c r="AE2160" t="str">
        <f t="shared" si="329"/>
        <v>OFF</v>
      </c>
      <c r="AF2160" t="str">
        <f t="shared" si="329"/>
        <v>OFF</v>
      </c>
      <c r="AG2160" t="str">
        <f t="shared" si="329"/>
        <v>OFF</v>
      </c>
    </row>
    <row r="2161" spans="1:33">
      <c r="A2161" t="s">
        <v>3003</v>
      </c>
      <c r="B2161" t="str">
        <f t="shared" si="327"/>
        <v>OFF</v>
      </c>
      <c r="C2161" t="str">
        <f t="shared" si="327"/>
        <v>OFF</v>
      </c>
      <c r="D2161" t="str">
        <f t="shared" si="327"/>
        <v>OFF</v>
      </c>
      <c r="E2161" t="str">
        <f t="shared" si="327"/>
        <v>OFF</v>
      </c>
      <c r="F2161" t="str">
        <f t="shared" si="327"/>
        <v>OFF</v>
      </c>
      <c r="G2161" t="str">
        <f t="shared" si="327"/>
        <v>OFF</v>
      </c>
      <c r="H2161" t="str">
        <f t="shared" si="327"/>
        <v>OFF</v>
      </c>
      <c r="I2161" t="str">
        <f t="shared" si="327"/>
        <v>OFF</v>
      </c>
      <c r="J2161" t="str">
        <f t="shared" si="327"/>
        <v>OFF</v>
      </c>
      <c r="K2161" t="str">
        <f t="shared" si="327"/>
        <v>OFF</v>
      </c>
      <c r="L2161" t="str">
        <f t="shared" si="328"/>
        <v>OFF</v>
      </c>
      <c r="M2161" t="str">
        <f t="shared" si="328"/>
        <v>OFF</v>
      </c>
      <c r="N2161" t="str">
        <f t="shared" si="328"/>
        <v>OFF</v>
      </c>
      <c r="O2161" t="str">
        <f t="shared" si="328"/>
        <v>OFF</v>
      </c>
      <c r="P2161" t="str">
        <f t="shared" si="328"/>
        <v>OFF</v>
      </c>
      <c r="Q2161" t="str">
        <f t="shared" si="328"/>
        <v>OFF</v>
      </c>
      <c r="R2161" t="str">
        <f t="shared" si="328"/>
        <v>OFF</v>
      </c>
      <c r="S2161" t="str">
        <f t="shared" si="328"/>
        <v>OFF</v>
      </c>
      <c r="T2161" t="str">
        <f t="shared" si="328"/>
        <v>OFF</v>
      </c>
      <c r="U2161" t="str">
        <f t="shared" si="328"/>
        <v>OFF</v>
      </c>
      <c r="V2161" t="str">
        <f t="shared" si="329"/>
        <v>OFF</v>
      </c>
      <c r="W2161" t="str">
        <f t="shared" si="329"/>
        <v>OFF</v>
      </c>
      <c r="X2161" t="str">
        <f t="shared" si="329"/>
        <v>OFF</v>
      </c>
      <c r="Y2161" t="str">
        <f t="shared" si="329"/>
        <v>OFF</v>
      </c>
      <c r="Z2161" t="str">
        <f t="shared" si="329"/>
        <v>OFF</v>
      </c>
      <c r="AA2161" t="str">
        <f t="shared" si="329"/>
        <v>OFF</v>
      </c>
      <c r="AB2161" t="str">
        <f t="shared" si="329"/>
        <v>OFF</v>
      </c>
      <c r="AC2161" t="str">
        <f t="shared" si="329"/>
        <v>OFF</v>
      </c>
      <c r="AD2161" t="str">
        <f t="shared" si="329"/>
        <v>OFF</v>
      </c>
      <c r="AE2161" t="str">
        <f t="shared" si="329"/>
        <v>OFF</v>
      </c>
      <c r="AF2161" t="str">
        <f t="shared" si="329"/>
        <v>OFF</v>
      </c>
      <c r="AG2161" t="str">
        <f t="shared" si="329"/>
        <v>OFF</v>
      </c>
    </row>
    <row r="2162" spans="1:33">
      <c r="A2162" t="s">
        <v>3004</v>
      </c>
      <c r="B2162" t="str">
        <f t="shared" si="327"/>
        <v>OFF</v>
      </c>
      <c r="C2162" t="str">
        <f t="shared" si="327"/>
        <v>OFF</v>
      </c>
      <c r="D2162" t="str">
        <f t="shared" si="327"/>
        <v>OFF</v>
      </c>
      <c r="E2162" t="str">
        <f t="shared" si="327"/>
        <v>OFF</v>
      </c>
      <c r="F2162" t="str">
        <f t="shared" si="327"/>
        <v>OFF</v>
      </c>
      <c r="G2162" t="str">
        <f t="shared" si="327"/>
        <v>OFF</v>
      </c>
      <c r="H2162" t="str">
        <f t="shared" si="327"/>
        <v>OFF</v>
      </c>
      <c r="I2162" t="str">
        <f t="shared" si="327"/>
        <v>OFF</v>
      </c>
      <c r="J2162" t="str">
        <f t="shared" si="327"/>
        <v>OFF</v>
      </c>
      <c r="K2162" t="str">
        <f t="shared" si="327"/>
        <v>OFF</v>
      </c>
      <c r="L2162" t="str">
        <f t="shared" si="328"/>
        <v>OFF</v>
      </c>
      <c r="M2162" t="str">
        <f t="shared" si="328"/>
        <v>OFF</v>
      </c>
      <c r="N2162" t="str">
        <f t="shared" si="328"/>
        <v>OFF</v>
      </c>
      <c r="O2162" t="str">
        <f t="shared" si="328"/>
        <v>OFF</v>
      </c>
      <c r="P2162" t="str">
        <f t="shared" si="328"/>
        <v>OFF</v>
      </c>
      <c r="Q2162" t="str">
        <f t="shared" si="328"/>
        <v>OFF</v>
      </c>
      <c r="R2162" t="str">
        <f t="shared" si="328"/>
        <v>OFF</v>
      </c>
      <c r="S2162" t="str">
        <f t="shared" si="328"/>
        <v>OFF</v>
      </c>
      <c r="T2162" t="str">
        <f t="shared" si="328"/>
        <v>OFF</v>
      </c>
      <c r="U2162" t="str">
        <f t="shared" si="328"/>
        <v>OFF</v>
      </c>
      <c r="V2162" t="str">
        <f t="shared" si="329"/>
        <v>OFF</v>
      </c>
      <c r="W2162" t="str">
        <f t="shared" si="329"/>
        <v>OFF</v>
      </c>
      <c r="X2162" t="str">
        <f t="shared" si="329"/>
        <v>OFF</v>
      </c>
      <c r="Y2162" t="str">
        <f t="shared" si="329"/>
        <v>OFF</v>
      </c>
      <c r="Z2162" t="str">
        <f t="shared" si="329"/>
        <v>OFF</v>
      </c>
      <c r="AA2162" t="str">
        <f t="shared" si="329"/>
        <v>OFF</v>
      </c>
      <c r="AB2162" t="str">
        <f t="shared" si="329"/>
        <v>OFF</v>
      </c>
      <c r="AC2162" t="str">
        <f t="shared" si="329"/>
        <v>OFF</v>
      </c>
      <c r="AD2162" t="str">
        <f t="shared" si="329"/>
        <v>OFF</v>
      </c>
      <c r="AE2162" t="str">
        <f t="shared" si="329"/>
        <v>OFF</v>
      </c>
      <c r="AF2162" t="str">
        <f t="shared" si="329"/>
        <v>OFF</v>
      </c>
      <c r="AG2162" t="str">
        <f t="shared" si="329"/>
        <v>OFF</v>
      </c>
    </row>
    <row r="2163" spans="1:33">
      <c r="A2163" t="s">
        <v>3005</v>
      </c>
      <c r="B2163" t="str">
        <f t="shared" si="327"/>
        <v>OFF</v>
      </c>
      <c r="C2163" t="str">
        <f t="shared" si="327"/>
        <v>OFF</v>
      </c>
      <c r="D2163" t="str">
        <f t="shared" si="327"/>
        <v>OFF</v>
      </c>
      <c r="E2163" t="str">
        <f t="shared" si="327"/>
        <v>OFF</v>
      </c>
      <c r="F2163" t="str">
        <f t="shared" si="327"/>
        <v>OFF</v>
      </c>
      <c r="G2163" t="str">
        <f t="shared" si="327"/>
        <v>OFF</v>
      </c>
      <c r="H2163" t="str">
        <f t="shared" si="327"/>
        <v>OFF</v>
      </c>
      <c r="I2163" t="str">
        <f t="shared" si="327"/>
        <v>OFF</v>
      </c>
      <c r="J2163" t="str">
        <f t="shared" si="327"/>
        <v>OFF</v>
      </c>
      <c r="K2163" t="str">
        <f t="shared" si="327"/>
        <v>OFF</v>
      </c>
      <c r="L2163" t="str">
        <f t="shared" si="328"/>
        <v>OFF</v>
      </c>
      <c r="M2163" t="str">
        <f t="shared" si="328"/>
        <v>OFF</v>
      </c>
      <c r="N2163" t="str">
        <f t="shared" si="328"/>
        <v>OFF</v>
      </c>
      <c r="O2163" t="str">
        <f t="shared" si="328"/>
        <v>OFF</v>
      </c>
      <c r="P2163" t="str">
        <f t="shared" si="328"/>
        <v>OFF</v>
      </c>
      <c r="Q2163" t="str">
        <f t="shared" si="328"/>
        <v>OFF</v>
      </c>
      <c r="R2163" t="str">
        <f t="shared" si="328"/>
        <v>OFF</v>
      </c>
      <c r="S2163" t="str">
        <f t="shared" si="328"/>
        <v>OFF</v>
      </c>
      <c r="T2163" t="str">
        <f t="shared" si="328"/>
        <v>OFF</v>
      </c>
      <c r="U2163" t="str">
        <f t="shared" si="328"/>
        <v>OFF</v>
      </c>
      <c r="V2163" t="str">
        <f t="shared" si="329"/>
        <v>OFF</v>
      </c>
      <c r="W2163" t="str">
        <f t="shared" si="329"/>
        <v>OFF</v>
      </c>
      <c r="X2163" t="str">
        <f t="shared" si="329"/>
        <v>OFF</v>
      </c>
      <c r="Y2163" t="str">
        <f t="shared" si="329"/>
        <v>OFF</v>
      </c>
      <c r="Z2163" t="str">
        <f t="shared" si="329"/>
        <v>OFF</v>
      </c>
      <c r="AA2163" t="str">
        <f t="shared" si="329"/>
        <v>OFF</v>
      </c>
      <c r="AB2163" t="str">
        <f t="shared" si="329"/>
        <v>OFF</v>
      </c>
      <c r="AC2163" t="str">
        <f t="shared" si="329"/>
        <v>OFF</v>
      </c>
      <c r="AD2163" t="str">
        <f t="shared" si="329"/>
        <v>OFF</v>
      </c>
      <c r="AE2163" t="str">
        <f t="shared" si="329"/>
        <v>OFF</v>
      </c>
      <c r="AF2163" t="str">
        <f t="shared" si="329"/>
        <v>OFF</v>
      </c>
      <c r="AG2163" t="str">
        <f t="shared" si="329"/>
        <v>OFF</v>
      </c>
    </row>
    <row r="2164" spans="1:33">
      <c r="A2164" t="s">
        <v>3006</v>
      </c>
      <c r="B2164" t="str">
        <f t="shared" si="327"/>
        <v>OFF</v>
      </c>
      <c r="C2164" t="str">
        <f t="shared" si="327"/>
        <v>OFF</v>
      </c>
      <c r="D2164" t="str">
        <f t="shared" si="327"/>
        <v>OFF</v>
      </c>
      <c r="E2164" t="str">
        <f t="shared" si="327"/>
        <v>OFF</v>
      </c>
      <c r="F2164" t="str">
        <f t="shared" si="327"/>
        <v>OFF</v>
      </c>
      <c r="G2164" t="str">
        <f t="shared" si="327"/>
        <v>OFF</v>
      </c>
      <c r="H2164" t="str">
        <f t="shared" si="327"/>
        <v>OFF</v>
      </c>
      <c r="I2164" t="str">
        <f t="shared" si="327"/>
        <v>OFF</v>
      </c>
      <c r="J2164" t="str">
        <f t="shared" si="327"/>
        <v>OFF</v>
      </c>
      <c r="K2164" t="str">
        <f t="shared" si="327"/>
        <v>OFF</v>
      </c>
      <c r="L2164" t="str">
        <f t="shared" si="328"/>
        <v>OFF</v>
      </c>
      <c r="M2164" t="str">
        <f t="shared" si="328"/>
        <v>OFF</v>
      </c>
      <c r="N2164" t="str">
        <f t="shared" si="328"/>
        <v>OFF</v>
      </c>
      <c r="O2164" t="str">
        <f t="shared" si="328"/>
        <v>OFF</v>
      </c>
      <c r="P2164" t="str">
        <f t="shared" si="328"/>
        <v>OFF</v>
      </c>
      <c r="Q2164" t="str">
        <f t="shared" si="328"/>
        <v>OFF</v>
      </c>
      <c r="R2164" t="str">
        <f t="shared" si="328"/>
        <v>OFF</v>
      </c>
      <c r="S2164" t="str">
        <f t="shared" si="328"/>
        <v>OFF</v>
      </c>
      <c r="T2164" t="str">
        <f t="shared" si="328"/>
        <v>OFF</v>
      </c>
      <c r="U2164" t="str">
        <f t="shared" si="328"/>
        <v>OFF</v>
      </c>
      <c r="V2164" t="str">
        <f t="shared" si="329"/>
        <v>OFF</v>
      </c>
      <c r="W2164" t="str">
        <f t="shared" si="329"/>
        <v>OFF</v>
      </c>
      <c r="X2164" t="str">
        <f t="shared" si="329"/>
        <v>OFF</v>
      </c>
      <c r="Y2164" t="str">
        <f t="shared" si="329"/>
        <v>OFF</v>
      </c>
      <c r="Z2164" t="str">
        <f t="shared" si="329"/>
        <v>OFF</v>
      </c>
      <c r="AA2164" t="str">
        <f t="shared" si="329"/>
        <v>OFF</v>
      </c>
      <c r="AB2164" t="str">
        <f t="shared" si="329"/>
        <v>OFF</v>
      </c>
      <c r="AC2164" t="str">
        <f t="shared" si="329"/>
        <v>OFF</v>
      </c>
      <c r="AD2164" t="str">
        <f t="shared" si="329"/>
        <v>OFF</v>
      </c>
      <c r="AE2164" t="str">
        <f t="shared" si="329"/>
        <v>OFF</v>
      </c>
      <c r="AF2164" t="str">
        <f t="shared" si="329"/>
        <v>OFF</v>
      </c>
      <c r="AG2164" t="str">
        <f t="shared" si="329"/>
        <v>OFF</v>
      </c>
    </row>
    <row r="2165" spans="1:33">
      <c r="A2165" t="s">
        <v>3007</v>
      </c>
      <c r="B2165" t="str">
        <f t="shared" si="327"/>
        <v>OFF</v>
      </c>
      <c r="C2165" t="str">
        <f t="shared" si="327"/>
        <v>OFF</v>
      </c>
      <c r="D2165" t="str">
        <f t="shared" si="327"/>
        <v>OFF</v>
      </c>
      <c r="E2165" t="str">
        <f t="shared" si="327"/>
        <v>OFF</v>
      </c>
      <c r="F2165" t="str">
        <f t="shared" si="327"/>
        <v>OFF</v>
      </c>
      <c r="G2165" t="str">
        <f t="shared" si="327"/>
        <v>OFF</v>
      </c>
      <c r="H2165" t="str">
        <f t="shared" si="327"/>
        <v>OFF</v>
      </c>
      <c r="I2165" t="str">
        <f t="shared" si="327"/>
        <v>OFF</v>
      </c>
      <c r="J2165" t="str">
        <f t="shared" si="327"/>
        <v>OFF</v>
      </c>
      <c r="K2165" t="str">
        <f t="shared" si="327"/>
        <v>OFF</v>
      </c>
      <c r="L2165" t="str">
        <f t="shared" si="328"/>
        <v>OFF</v>
      </c>
      <c r="M2165" t="str">
        <f t="shared" si="328"/>
        <v>OFF</v>
      </c>
      <c r="N2165" t="str">
        <f t="shared" si="328"/>
        <v>OFF</v>
      </c>
      <c r="O2165" t="str">
        <f t="shared" si="328"/>
        <v>OFF</v>
      </c>
      <c r="P2165" t="str">
        <f t="shared" si="328"/>
        <v>OFF</v>
      </c>
      <c r="Q2165" t="str">
        <f t="shared" si="328"/>
        <v>OFF</v>
      </c>
      <c r="R2165" t="str">
        <f t="shared" si="328"/>
        <v>OFF</v>
      </c>
      <c r="S2165" t="str">
        <f t="shared" si="328"/>
        <v>OFF</v>
      </c>
      <c r="T2165" t="str">
        <f t="shared" si="328"/>
        <v>OFF</v>
      </c>
      <c r="U2165" t="str">
        <f t="shared" si="328"/>
        <v>OFF</v>
      </c>
      <c r="V2165" t="str">
        <f t="shared" si="329"/>
        <v>OFF</v>
      </c>
      <c r="W2165" t="str">
        <f t="shared" si="329"/>
        <v>OFF</v>
      </c>
      <c r="X2165" t="str">
        <f t="shared" si="329"/>
        <v>OFF</v>
      </c>
      <c r="Y2165" t="str">
        <f t="shared" si="329"/>
        <v>OFF</v>
      </c>
      <c r="Z2165" t="str">
        <f t="shared" si="329"/>
        <v>OFF</v>
      </c>
      <c r="AA2165" t="str">
        <f t="shared" si="329"/>
        <v>OFF</v>
      </c>
      <c r="AB2165" t="str">
        <f t="shared" si="329"/>
        <v>OFF</v>
      </c>
      <c r="AC2165" t="str">
        <f t="shared" si="329"/>
        <v>OFF</v>
      </c>
      <c r="AD2165" t="str">
        <f t="shared" si="329"/>
        <v>OFF</v>
      </c>
      <c r="AE2165" t="str">
        <f t="shared" si="329"/>
        <v>OFF</v>
      </c>
      <c r="AF2165" t="str">
        <f t="shared" si="329"/>
        <v>OFF</v>
      </c>
      <c r="AG2165" t="str">
        <f t="shared" si="329"/>
        <v>OFF</v>
      </c>
    </row>
    <row r="2166" spans="1:33">
      <c r="A2166" t="s">
        <v>3008</v>
      </c>
      <c r="B2166" t="str">
        <f t="shared" si="327"/>
        <v>OFF</v>
      </c>
      <c r="C2166" t="str">
        <f t="shared" si="327"/>
        <v>OFF</v>
      </c>
      <c r="D2166" t="str">
        <f t="shared" si="327"/>
        <v>OFF</v>
      </c>
      <c r="E2166" t="str">
        <f t="shared" si="327"/>
        <v>OFF</v>
      </c>
      <c r="F2166" t="str">
        <f t="shared" si="327"/>
        <v>OFF</v>
      </c>
      <c r="G2166" t="str">
        <f t="shared" si="327"/>
        <v>OFF</v>
      </c>
      <c r="H2166" t="str">
        <f t="shared" si="327"/>
        <v>OFF</v>
      </c>
      <c r="I2166" t="str">
        <f t="shared" si="327"/>
        <v>OFF</v>
      </c>
      <c r="J2166" t="str">
        <f t="shared" si="327"/>
        <v>OFF</v>
      </c>
      <c r="K2166" t="str">
        <f t="shared" si="327"/>
        <v>OFF</v>
      </c>
      <c r="L2166" t="str">
        <f t="shared" si="328"/>
        <v>OFF</v>
      </c>
      <c r="M2166" t="str">
        <f t="shared" si="328"/>
        <v>OFF</v>
      </c>
      <c r="N2166" t="str">
        <f t="shared" si="328"/>
        <v>OFF</v>
      </c>
      <c r="O2166" t="str">
        <f t="shared" si="328"/>
        <v>OFF</v>
      </c>
      <c r="P2166" t="str">
        <f t="shared" si="328"/>
        <v>OFF</v>
      </c>
      <c r="Q2166" t="str">
        <f t="shared" si="328"/>
        <v>OFF</v>
      </c>
      <c r="R2166" t="str">
        <f t="shared" si="328"/>
        <v>OFF</v>
      </c>
      <c r="S2166" t="str">
        <f t="shared" si="328"/>
        <v>OFF</v>
      </c>
      <c r="T2166" t="str">
        <f t="shared" si="328"/>
        <v>OFF</v>
      </c>
      <c r="U2166" t="str">
        <f t="shared" si="328"/>
        <v>OFF</v>
      </c>
      <c r="V2166" t="str">
        <f t="shared" si="329"/>
        <v>OFF</v>
      </c>
      <c r="W2166" t="str">
        <f t="shared" si="329"/>
        <v>OFF</v>
      </c>
      <c r="X2166" t="str">
        <f t="shared" si="329"/>
        <v>OFF</v>
      </c>
      <c r="Y2166" t="str">
        <f t="shared" si="329"/>
        <v>OFF</v>
      </c>
      <c r="Z2166" t="str">
        <f t="shared" si="329"/>
        <v>OFF</v>
      </c>
      <c r="AA2166" t="str">
        <f t="shared" si="329"/>
        <v>OFF</v>
      </c>
      <c r="AB2166" t="str">
        <f t="shared" si="329"/>
        <v>OFF</v>
      </c>
      <c r="AC2166" t="str">
        <f t="shared" si="329"/>
        <v>OFF</v>
      </c>
      <c r="AD2166" t="str">
        <f t="shared" si="329"/>
        <v>OFF</v>
      </c>
      <c r="AE2166" t="str">
        <f t="shared" si="329"/>
        <v>OFF</v>
      </c>
      <c r="AF2166" t="str">
        <f t="shared" si="329"/>
        <v>OFF</v>
      </c>
      <c r="AG2166" t="str">
        <f t="shared" si="329"/>
        <v>OFF</v>
      </c>
    </row>
    <row r="2167" spans="1:33">
      <c r="A2167" t="s">
        <v>3009</v>
      </c>
      <c r="B2167" t="str">
        <f t="shared" si="327"/>
        <v>OFF</v>
      </c>
      <c r="C2167" t="str">
        <f t="shared" si="327"/>
        <v>OFF</v>
      </c>
      <c r="D2167" t="str">
        <f t="shared" si="327"/>
        <v>OFF</v>
      </c>
      <c r="E2167" t="str">
        <f t="shared" si="327"/>
        <v>OFF</v>
      </c>
      <c r="F2167" t="str">
        <f t="shared" si="327"/>
        <v>OFF</v>
      </c>
      <c r="G2167" t="str">
        <f t="shared" si="327"/>
        <v>OFF</v>
      </c>
      <c r="H2167" t="str">
        <f t="shared" si="327"/>
        <v>OFF</v>
      </c>
      <c r="I2167" t="str">
        <f t="shared" si="327"/>
        <v>OFF</v>
      </c>
      <c r="J2167" t="str">
        <f t="shared" si="327"/>
        <v>OFF</v>
      </c>
      <c r="K2167" t="str">
        <f t="shared" si="327"/>
        <v>OFF</v>
      </c>
      <c r="L2167" t="str">
        <f t="shared" si="328"/>
        <v>OFF</v>
      </c>
      <c r="M2167" t="str">
        <f t="shared" si="328"/>
        <v>OFF</v>
      </c>
      <c r="N2167" t="str">
        <f t="shared" si="328"/>
        <v>OFF</v>
      </c>
      <c r="O2167" t="str">
        <f t="shared" si="328"/>
        <v>OFF</v>
      </c>
      <c r="P2167" t="str">
        <f t="shared" si="328"/>
        <v>OFF</v>
      </c>
      <c r="Q2167" t="str">
        <f t="shared" si="328"/>
        <v>OFF</v>
      </c>
      <c r="R2167" t="str">
        <f t="shared" si="328"/>
        <v>OFF</v>
      </c>
      <c r="S2167" t="str">
        <f t="shared" si="328"/>
        <v>OFF</v>
      </c>
      <c r="T2167" t="str">
        <f t="shared" si="328"/>
        <v>OFF</v>
      </c>
      <c r="U2167" t="str">
        <f t="shared" si="328"/>
        <v>OFF</v>
      </c>
      <c r="V2167" t="str">
        <f t="shared" si="329"/>
        <v>OFF</v>
      </c>
      <c r="W2167" t="str">
        <f t="shared" si="329"/>
        <v>OFF</v>
      </c>
      <c r="X2167" t="str">
        <f t="shared" si="329"/>
        <v>OFF</v>
      </c>
      <c r="Y2167" t="str">
        <f t="shared" si="329"/>
        <v>OFF</v>
      </c>
      <c r="Z2167" t="str">
        <f t="shared" si="329"/>
        <v>OFF</v>
      </c>
      <c r="AA2167" t="str">
        <f t="shared" si="329"/>
        <v>OFF</v>
      </c>
      <c r="AB2167" t="str">
        <f t="shared" si="329"/>
        <v>OFF</v>
      </c>
      <c r="AC2167" t="str">
        <f t="shared" si="329"/>
        <v>OFF</v>
      </c>
      <c r="AD2167" t="str">
        <f t="shared" si="329"/>
        <v>OFF</v>
      </c>
      <c r="AE2167" t="str">
        <f t="shared" si="329"/>
        <v>OFF</v>
      </c>
      <c r="AF2167" t="str">
        <f t="shared" si="329"/>
        <v>OFF</v>
      </c>
      <c r="AG2167" t="str">
        <f t="shared" si="329"/>
        <v>OFF</v>
      </c>
    </row>
    <row r="2168" spans="1:33">
      <c r="A2168" t="s">
        <v>3010</v>
      </c>
      <c r="B2168" t="str">
        <f t="shared" si="327"/>
        <v>OFF</v>
      </c>
      <c r="C2168" t="str">
        <f t="shared" si="327"/>
        <v>OFF</v>
      </c>
      <c r="D2168" t="str">
        <f t="shared" si="327"/>
        <v>OFF</v>
      </c>
      <c r="E2168" t="str">
        <f t="shared" si="327"/>
        <v>OFF</v>
      </c>
      <c r="F2168" t="str">
        <f t="shared" si="327"/>
        <v>OFF</v>
      </c>
      <c r="G2168" t="str">
        <f t="shared" si="327"/>
        <v>OFF</v>
      </c>
      <c r="H2168" t="str">
        <f t="shared" si="327"/>
        <v>OFF</v>
      </c>
      <c r="I2168" t="str">
        <f t="shared" si="327"/>
        <v>OFF</v>
      </c>
      <c r="J2168" t="str">
        <f t="shared" si="327"/>
        <v>OFF</v>
      </c>
      <c r="K2168" t="str">
        <f t="shared" si="327"/>
        <v>OFF</v>
      </c>
      <c r="L2168" t="str">
        <f t="shared" si="328"/>
        <v>OFF</v>
      </c>
      <c r="M2168" t="str">
        <f t="shared" si="328"/>
        <v>OFF</v>
      </c>
      <c r="N2168" t="str">
        <f t="shared" si="328"/>
        <v>OFF</v>
      </c>
      <c r="O2168" t="str">
        <f t="shared" si="328"/>
        <v>OFF</v>
      </c>
      <c r="P2168" t="str">
        <f t="shared" si="328"/>
        <v>OFF</v>
      </c>
      <c r="Q2168" t="str">
        <f t="shared" si="328"/>
        <v>OFF</v>
      </c>
      <c r="R2168" t="str">
        <f t="shared" si="328"/>
        <v>OFF</v>
      </c>
      <c r="S2168" t="str">
        <f t="shared" si="328"/>
        <v>OFF</v>
      </c>
      <c r="T2168" t="str">
        <f t="shared" si="328"/>
        <v>OFF</v>
      </c>
      <c r="U2168" t="str">
        <f t="shared" si="328"/>
        <v>OFF</v>
      </c>
      <c r="V2168" t="str">
        <f t="shared" si="329"/>
        <v>OFF</v>
      </c>
      <c r="W2168" t="str">
        <f t="shared" si="329"/>
        <v>OFF</v>
      </c>
      <c r="X2168" t="str">
        <f t="shared" si="329"/>
        <v>OFF</v>
      </c>
      <c r="Y2168" t="str">
        <f t="shared" si="329"/>
        <v>OFF</v>
      </c>
      <c r="Z2168" t="str">
        <f t="shared" si="329"/>
        <v>OFF</v>
      </c>
      <c r="AA2168" t="str">
        <f t="shared" si="329"/>
        <v>OFF</v>
      </c>
      <c r="AB2168" t="str">
        <f t="shared" si="329"/>
        <v>OFF</v>
      </c>
      <c r="AC2168" t="str">
        <f t="shared" si="329"/>
        <v>OFF</v>
      </c>
      <c r="AD2168" t="str">
        <f t="shared" si="329"/>
        <v>OFF</v>
      </c>
      <c r="AE2168" t="str">
        <f t="shared" si="329"/>
        <v>OFF</v>
      </c>
      <c r="AF2168" t="str">
        <f t="shared" si="329"/>
        <v>OFF</v>
      </c>
      <c r="AG2168" t="str">
        <f t="shared" si="329"/>
        <v>OFF</v>
      </c>
    </row>
    <row r="2170" spans="1:33">
      <c r="B2170" t="s">
        <v>3011</v>
      </c>
      <c r="C2170">
        <v>13</v>
      </c>
      <c r="D2170">
        <v>1</v>
      </c>
      <c r="E2170">
        <v>1</v>
      </c>
    </row>
    <row r="2171" spans="1:33">
      <c r="B2171" t="s">
        <v>3012</v>
      </c>
    </row>
    <row r="2172" spans="1:33">
      <c r="A2172" t="s">
        <v>3013</v>
      </c>
      <c r="B2172" t="str">
        <f t="shared" ref="B2172:B2177" si="330">"OFF"</f>
        <v>OFF</v>
      </c>
    </row>
    <row r="2173" spans="1:33">
      <c r="A2173" t="s">
        <v>3014</v>
      </c>
      <c r="B2173" t="str">
        <f t="shared" si="330"/>
        <v>OFF</v>
      </c>
    </row>
    <row r="2174" spans="1:33">
      <c r="A2174" t="s">
        <v>3015</v>
      </c>
      <c r="B2174" t="str">
        <f t="shared" si="330"/>
        <v>OFF</v>
      </c>
    </row>
    <row r="2175" spans="1:33">
      <c r="A2175" t="s">
        <v>3016</v>
      </c>
      <c r="B2175" t="str">
        <f t="shared" si="330"/>
        <v>OFF</v>
      </c>
    </row>
    <row r="2176" spans="1:33">
      <c r="A2176" t="s">
        <v>3017</v>
      </c>
      <c r="B2176" t="str">
        <f t="shared" si="330"/>
        <v>OFF</v>
      </c>
    </row>
    <row r="2177" spans="1:5">
      <c r="A2177" t="s">
        <v>3018</v>
      </c>
      <c r="B2177" t="str">
        <f t="shared" si="330"/>
        <v>OFF</v>
      </c>
    </row>
    <row r="2178" spans="1:5">
      <c r="A2178" t="s">
        <v>3019</v>
      </c>
      <c r="B2178">
        <v>0</v>
      </c>
    </row>
    <row r="2179" spans="1:5">
      <c r="A2179" t="s">
        <v>3020</v>
      </c>
      <c r="B2179">
        <v>0</v>
      </c>
    </row>
    <row r="2180" spans="1:5">
      <c r="A2180" t="s">
        <v>3021</v>
      </c>
      <c r="B2180">
        <v>0</v>
      </c>
    </row>
    <row r="2181" spans="1:5">
      <c r="A2181" t="s">
        <v>3022</v>
      </c>
      <c r="B2181" t="str">
        <f>"OFF"</f>
        <v>OFF</v>
      </c>
    </row>
    <row r="2182" spans="1:5">
      <c r="A2182" t="s">
        <v>238</v>
      </c>
      <c r="B2182" t="str">
        <f>"OFF"</f>
        <v>OFF</v>
      </c>
    </row>
    <row r="2183" spans="1:5">
      <c r="A2183" t="s">
        <v>3023</v>
      </c>
      <c r="B2183" t="str">
        <f>"OFF"</f>
        <v>OFF</v>
      </c>
    </row>
    <row r="2184" spans="1:5">
      <c r="A2184" t="s">
        <v>3024</v>
      </c>
      <c r="B2184">
        <v>0</v>
      </c>
    </row>
    <row r="2186" spans="1:5">
      <c r="B2186" t="s">
        <v>3025</v>
      </c>
      <c r="C2186">
        <v>1</v>
      </c>
      <c r="D2186">
        <v>4</v>
      </c>
      <c r="E2186">
        <v>1</v>
      </c>
    </row>
    <row r="2187" spans="1:5">
      <c r="B2187" t="s">
        <v>3026</v>
      </c>
      <c r="C2187" t="s">
        <v>3027</v>
      </c>
      <c r="D2187" t="s">
        <v>3028</v>
      </c>
      <c r="E2187" t="s">
        <v>3029</v>
      </c>
    </row>
    <row r="2188" spans="1:5">
      <c r="A2188" t="s">
        <v>3030</v>
      </c>
      <c r="B2188">
        <v>1</v>
      </c>
      <c r="C2188">
        <v>2</v>
      </c>
      <c r="D2188">
        <v>1</v>
      </c>
      <c r="E2188">
        <v>2</v>
      </c>
    </row>
    <row r="2190" spans="1:5">
      <c r="B2190" t="s">
        <v>3031</v>
      </c>
      <c r="C2190">
        <v>8</v>
      </c>
      <c r="D2190">
        <v>4</v>
      </c>
      <c r="E2190">
        <v>1</v>
      </c>
    </row>
    <row r="2191" spans="1:5">
      <c r="B2191" t="s">
        <v>3026</v>
      </c>
      <c r="C2191" t="s">
        <v>3027</v>
      </c>
      <c r="D2191" t="s">
        <v>3028</v>
      </c>
      <c r="E2191" t="s">
        <v>3029</v>
      </c>
    </row>
    <row r="2192" spans="1:5">
      <c r="A2192" t="s">
        <v>3032</v>
      </c>
      <c r="B2192">
        <v>1</v>
      </c>
      <c r="C2192">
        <v>5</v>
      </c>
      <c r="D2192">
        <v>0</v>
      </c>
      <c r="E2192">
        <v>0</v>
      </c>
    </row>
    <row r="2193" spans="1:5">
      <c r="A2193" t="s">
        <v>3033</v>
      </c>
      <c r="B2193">
        <v>2</v>
      </c>
      <c r="C2193">
        <v>6</v>
      </c>
      <c r="D2193">
        <v>0</v>
      </c>
      <c r="E2193">
        <v>0</v>
      </c>
    </row>
    <row r="2194" spans="1:5">
      <c r="A2194" t="s">
        <v>3034</v>
      </c>
      <c r="B2194">
        <v>3</v>
      </c>
      <c r="C2194">
        <v>7</v>
      </c>
      <c r="D2194">
        <v>0</v>
      </c>
      <c r="E2194">
        <v>0</v>
      </c>
    </row>
    <row r="2195" spans="1:5">
      <c r="A2195" t="s">
        <v>3035</v>
      </c>
      <c r="B2195">
        <v>4</v>
      </c>
      <c r="C2195">
        <v>8</v>
      </c>
      <c r="D2195">
        <v>0</v>
      </c>
      <c r="E2195">
        <v>0</v>
      </c>
    </row>
    <row r="2196" spans="1:5">
      <c r="A2196" t="s">
        <v>3036</v>
      </c>
      <c r="B2196">
        <v>0</v>
      </c>
      <c r="C2196">
        <v>0</v>
      </c>
      <c r="D2196">
        <v>0</v>
      </c>
      <c r="E2196">
        <v>0</v>
      </c>
    </row>
    <row r="2197" spans="1:5">
      <c r="A2197" t="s">
        <v>3037</v>
      </c>
      <c r="B2197">
        <v>0</v>
      </c>
      <c r="C2197">
        <v>0</v>
      </c>
      <c r="D2197">
        <v>0</v>
      </c>
      <c r="E2197">
        <v>0</v>
      </c>
    </row>
    <row r="2198" spans="1:5">
      <c r="A2198" t="s">
        <v>3038</v>
      </c>
      <c r="B2198">
        <v>0</v>
      </c>
      <c r="C2198">
        <v>0</v>
      </c>
      <c r="D2198">
        <v>0</v>
      </c>
      <c r="E2198">
        <v>0</v>
      </c>
    </row>
    <row r="2199" spans="1:5">
      <c r="A2199" t="s">
        <v>3039</v>
      </c>
      <c r="B2199">
        <v>0</v>
      </c>
      <c r="C2199">
        <v>0</v>
      </c>
      <c r="D2199">
        <v>0</v>
      </c>
      <c r="E2199">
        <v>0</v>
      </c>
    </row>
    <row r="2201" spans="1:5">
      <c r="B2201" t="s">
        <v>3040</v>
      </c>
      <c r="C2201">
        <v>8</v>
      </c>
      <c r="D2201">
        <v>4</v>
      </c>
      <c r="E2201">
        <v>1</v>
      </c>
    </row>
    <row r="2202" spans="1:5">
      <c r="B2202" t="s">
        <v>3026</v>
      </c>
      <c r="C2202" t="s">
        <v>3027</v>
      </c>
      <c r="D2202" t="s">
        <v>3028</v>
      </c>
      <c r="E2202" t="s">
        <v>3029</v>
      </c>
    </row>
    <row r="2203" spans="1:5">
      <c r="A2203" t="s">
        <v>3032</v>
      </c>
      <c r="B2203">
        <v>1</v>
      </c>
      <c r="C2203">
        <v>6</v>
      </c>
      <c r="D2203">
        <v>0</v>
      </c>
      <c r="E2203">
        <v>0</v>
      </c>
    </row>
    <row r="2204" spans="1:5">
      <c r="A2204" t="s">
        <v>3033</v>
      </c>
      <c r="B2204">
        <v>2</v>
      </c>
      <c r="C2204">
        <v>5</v>
      </c>
      <c r="D2204">
        <v>0</v>
      </c>
      <c r="E2204">
        <v>0</v>
      </c>
    </row>
    <row r="2205" spans="1:5">
      <c r="A2205" t="s">
        <v>3034</v>
      </c>
      <c r="B2205">
        <v>3</v>
      </c>
      <c r="C2205">
        <v>7</v>
      </c>
      <c r="D2205">
        <v>0</v>
      </c>
      <c r="E2205">
        <v>0</v>
      </c>
    </row>
    <row r="2206" spans="1:5">
      <c r="A2206" t="s">
        <v>3035</v>
      </c>
      <c r="B2206">
        <v>4</v>
      </c>
      <c r="C2206">
        <v>8</v>
      </c>
      <c r="D2206">
        <v>0</v>
      </c>
      <c r="E2206">
        <v>0</v>
      </c>
    </row>
    <row r="2207" spans="1:5">
      <c r="A2207" t="s">
        <v>3036</v>
      </c>
      <c r="B2207">
        <v>0</v>
      </c>
      <c r="C2207">
        <v>0</v>
      </c>
      <c r="D2207">
        <v>0</v>
      </c>
      <c r="E2207">
        <v>0</v>
      </c>
    </row>
    <row r="2208" spans="1:5">
      <c r="A2208" t="s">
        <v>3037</v>
      </c>
      <c r="B2208">
        <v>0</v>
      </c>
      <c r="C2208">
        <v>0</v>
      </c>
      <c r="D2208">
        <v>0</v>
      </c>
      <c r="E2208">
        <v>0</v>
      </c>
    </row>
    <row r="2209" spans="1:5">
      <c r="A2209" t="s">
        <v>3038</v>
      </c>
      <c r="B2209">
        <v>0</v>
      </c>
      <c r="C2209">
        <v>0</v>
      </c>
      <c r="D2209">
        <v>0</v>
      </c>
      <c r="E2209">
        <v>0</v>
      </c>
    </row>
    <row r="2210" spans="1:5">
      <c r="A2210" t="s">
        <v>3039</v>
      </c>
      <c r="B2210">
        <v>0</v>
      </c>
      <c r="C2210">
        <v>0</v>
      </c>
      <c r="D2210">
        <v>0</v>
      </c>
      <c r="E2210">
        <v>0</v>
      </c>
    </row>
    <row r="2212" spans="1:5">
      <c r="B2212" t="s">
        <v>3041</v>
      </c>
      <c r="C2212">
        <v>8</v>
      </c>
      <c r="D2212">
        <v>4</v>
      </c>
      <c r="E2212">
        <v>1</v>
      </c>
    </row>
    <row r="2213" spans="1:5">
      <c r="B2213" t="s">
        <v>3026</v>
      </c>
      <c r="C2213" t="s">
        <v>3027</v>
      </c>
      <c r="D2213" t="s">
        <v>3028</v>
      </c>
      <c r="E2213" t="s">
        <v>3029</v>
      </c>
    </row>
    <row r="2214" spans="1:5">
      <c r="A2214" t="s">
        <v>3032</v>
      </c>
      <c r="B2214">
        <v>2</v>
      </c>
      <c r="C2214">
        <v>5</v>
      </c>
      <c r="D2214">
        <v>0</v>
      </c>
      <c r="E2214">
        <v>0</v>
      </c>
    </row>
    <row r="2215" spans="1:5">
      <c r="A2215" t="s">
        <v>3033</v>
      </c>
      <c r="B2215">
        <v>1</v>
      </c>
      <c r="C2215">
        <v>6</v>
      </c>
      <c r="D2215">
        <v>0</v>
      </c>
      <c r="E2215">
        <v>0</v>
      </c>
    </row>
    <row r="2216" spans="1:5">
      <c r="A2216" t="s">
        <v>3034</v>
      </c>
      <c r="B2216">
        <v>3</v>
      </c>
      <c r="C2216">
        <v>7</v>
      </c>
      <c r="D2216">
        <v>0</v>
      </c>
      <c r="E2216">
        <v>0</v>
      </c>
    </row>
    <row r="2217" spans="1:5">
      <c r="A2217" t="s">
        <v>3035</v>
      </c>
      <c r="B2217">
        <v>4</v>
      </c>
      <c r="C2217">
        <v>8</v>
      </c>
      <c r="D2217">
        <v>0</v>
      </c>
      <c r="E2217">
        <v>0</v>
      </c>
    </row>
    <row r="2218" spans="1:5">
      <c r="A2218" t="s">
        <v>3036</v>
      </c>
      <c r="B2218">
        <v>0</v>
      </c>
      <c r="C2218">
        <v>0</v>
      </c>
      <c r="D2218">
        <v>0</v>
      </c>
      <c r="E2218">
        <v>0</v>
      </c>
    </row>
    <row r="2219" spans="1:5">
      <c r="A2219" t="s">
        <v>3037</v>
      </c>
      <c r="B2219">
        <v>0</v>
      </c>
      <c r="C2219">
        <v>0</v>
      </c>
      <c r="D2219">
        <v>0</v>
      </c>
      <c r="E2219">
        <v>0</v>
      </c>
    </row>
    <row r="2220" spans="1:5">
      <c r="A2220" t="s">
        <v>3038</v>
      </c>
      <c r="B2220">
        <v>0</v>
      </c>
      <c r="C2220">
        <v>0</v>
      </c>
      <c r="D2220">
        <v>0</v>
      </c>
      <c r="E2220">
        <v>0</v>
      </c>
    </row>
    <row r="2221" spans="1:5">
      <c r="A2221" t="s">
        <v>3039</v>
      </c>
      <c r="B2221">
        <v>0</v>
      </c>
      <c r="C2221">
        <v>0</v>
      </c>
      <c r="D2221">
        <v>0</v>
      </c>
      <c r="E2221">
        <v>0</v>
      </c>
    </row>
    <row r="2223" spans="1:5">
      <c r="B2223" t="s">
        <v>3042</v>
      </c>
      <c r="C2223">
        <v>8</v>
      </c>
      <c r="D2223">
        <v>4</v>
      </c>
      <c r="E2223">
        <v>1</v>
      </c>
    </row>
    <row r="2224" spans="1:5">
      <c r="B2224" t="s">
        <v>3026</v>
      </c>
      <c r="C2224" t="s">
        <v>3027</v>
      </c>
      <c r="D2224" t="s">
        <v>3028</v>
      </c>
      <c r="E2224" t="s">
        <v>3029</v>
      </c>
    </row>
    <row r="2225" spans="1:5">
      <c r="A2225" t="s">
        <v>3032</v>
      </c>
      <c r="B2225">
        <v>2</v>
      </c>
      <c r="C2225">
        <v>6</v>
      </c>
      <c r="D2225">
        <v>0</v>
      </c>
      <c r="E2225">
        <v>0</v>
      </c>
    </row>
    <row r="2226" spans="1:5">
      <c r="A2226" t="s">
        <v>3033</v>
      </c>
      <c r="B2226">
        <v>1</v>
      </c>
      <c r="C2226">
        <v>5</v>
      </c>
      <c r="D2226">
        <v>0</v>
      </c>
      <c r="E2226">
        <v>0</v>
      </c>
    </row>
    <row r="2227" spans="1:5">
      <c r="A2227" t="s">
        <v>3034</v>
      </c>
      <c r="B2227">
        <v>3</v>
      </c>
      <c r="C2227">
        <v>7</v>
      </c>
      <c r="D2227">
        <v>0</v>
      </c>
      <c r="E2227">
        <v>0</v>
      </c>
    </row>
    <row r="2228" spans="1:5">
      <c r="A2228" t="s">
        <v>3035</v>
      </c>
      <c r="B2228">
        <v>4</v>
      </c>
      <c r="C2228">
        <v>8</v>
      </c>
      <c r="D2228">
        <v>0</v>
      </c>
      <c r="E2228">
        <v>0</v>
      </c>
    </row>
    <row r="2229" spans="1:5">
      <c r="A2229" t="s">
        <v>3036</v>
      </c>
      <c r="B2229">
        <v>0</v>
      </c>
      <c r="C2229">
        <v>0</v>
      </c>
      <c r="D2229">
        <v>0</v>
      </c>
      <c r="E2229">
        <v>0</v>
      </c>
    </row>
    <row r="2230" spans="1:5">
      <c r="A2230" t="s">
        <v>3037</v>
      </c>
      <c r="B2230">
        <v>0</v>
      </c>
      <c r="C2230">
        <v>0</v>
      </c>
      <c r="D2230">
        <v>0</v>
      </c>
      <c r="E2230">
        <v>0</v>
      </c>
    </row>
    <row r="2231" spans="1:5">
      <c r="A2231" t="s">
        <v>3038</v>
      </c>
      <c r="B2231">
        <v>0</v>
      </c>
      <c r="C2231">
        <v>0</v>
      </c>
      <c r="D2231">
        <v>0</v>
      </c>
      <c r="E2231">
        <v>0</v>
      </c>
    </row>
    <row r="2232" spans="1:5">
      <c r="A2232" t="s">
        <v>3039</v>
      </c>
      <c r="B2232">
        <v>0</v>
      </c>
      <c r="C2232">
        <v>0</v>
      </c>
      <c r="D2232">
        <v>0</v>
      </c>
      <c r="E2232">
        <v>0</v>
      </c>
    </row>
    <row r="2234" spans="1:5">
      <c r="B2234" t="s">
        <v>3043</v>
      </c>
      <c r="C2234">
        <v>8</v>
      </c>
      <c r="D2234">
        <v>4</v>
      </c>
      <c r="E2234">
        <v>1</v>
      </c>
    </row>
    <row r="2235" spans="1:5">
      <c r="B2235" t="s">
        <v>3026</v>
      </c>
      <c r="C2235" t="s">
        <v>3027</v>
      </c>
      <c r="D2235" t="s">
        <v>3028</v>
      </c>
      <c r="E2235" t="s">
        <v>3029</v>
      </c>
    </row>
    <row r="2236" spans="1:5">
      <c r="A2236" t="s">
        <v>3032</v>
      </c>
      <c r="B2236">
        <v>1</v>
      </c>
      <c r="C2236">
        <v>5</v>
      </c>
      <c r="D2236">
        <v>0</v>
      </c>
      <c r="E2236">
        <v>0</v>
      </c>
    </row>
    <row r="2237" spans="1:5">
      <c r="A2237" t="s">
        <v>3033</v>
      </c>
      <c r="B2237">
        <v>2</v>
      </c>
      <c r="C2237">
        <v>6</v>
      </c>
      <c r="D2237">
        <v>0</v>
      </c>
      <c r="E2237">
        <v>0</v>
      </c>
    </row>
    <row r="2238" spans="1:5">
      <c r="A2238" t="s">
        <v>3034</v>
      </c>
      <c r="B2238">
        <v>3</v>
      </c>
      <c r="C2238">
        <v>8</v>
      </c>
      <c r="D2238">
        <v>0</v>
      </c>
      <c r="E2238">
        <v>0</v>
      </c>
    </row>
    <row r="2239" spans="1:5">
      <c r="A2239" t="s">
        <v>3035</v>
      </c>
      <c r="B2239">
        <v>4</v>
      </c>
      <c r="C2239">
        <v>7</v>
      </c>
      <c r="D2239">
        <v>0</v>
      </c>
      <c r="E2239">
        <v>0</v>
      </c>
    </row>
    <row r="2240" spans="1:5">
      <c r="A2240" t="s">
        <v>3036</v>
      </c>
      <c r="B2240">
        <v>0</v>
      </c>
      <c r="C2240">
        <v>0</v>
      </c>
      <c r="D2240">
        <v>0</v>
      </c>
      <c r="E2240">
        <v>0</v>
      </c>
    </row>
    <row r="2241" spans="1:5">
      <c r="A2241" t="s">
        <v>3037</v>
      </c>
      <c r="B2241">
        <v>0</v>
      </c>
      <c r="C2241">
        <v>0</v>
      </c>
      <c r="D2241">
        <v>0</v>
      </c>
      <c r="E2241">
        <v>0</v>
      </c>
    </row>
    <row r="2242" spans="1:5">
      <c r="A2242" t="s">
        <v>3038</v>
      </c>
      <c r="B2242">
        <v>0</v>
      </c>
      <c r="C2242">
        <v>0</v>
      </c>
      <c r="D2242">
        <v>0</v>
      </c>
      <c r="E2242">
        <v>0</v>
      </c>
    </row>
    <row r="2243" spans="1:5">
      <c r="A2243" t="s">
        <v>3039</v>
      </c>
      <c r="B2243">
        <v>0</v>
      </c>
      <c r="C2243">
        <v>0</v>
      </c>
      <c r="D2243">
        <v>0</v>
      </c>
      <c r="E2243">
        <v>0</v>
      </c>
    </row>
    <row r="2245" spans="1:5">
      <c r="B2245" t="s">
        <v>3044</v>
      </c>
      <c r="C2245">
        <v>8</v>
      </c>
      <c r="D2245">
        <v>4</v>
      </c>
      <c r="E2245">
        <v>1</v>
      </c>
    </row>
    <row r="2246" spans="1:5">
      <c r="B2246" t="s">
        <v>3026</v>
      </c>
      <c r="C2246" t="s">
        <v>3027</v>
      </c>
      <c r="D2246" t="s">
        <v>3028</v>
      </c>
      <c r="E2246" t="s">
        <v>3029</v>
      </c>
    </row>
    <row r="2247" spans="1:5">
      <c r="A2247" t="s">
        <v>3032</v>
      </c>
      <c r="B2247">
        <v>1</v>
      </c>
      <c r="C2247">
        <v>6</v>
      </c>
      <c r="D2247">
        <v>0</v>
      </c>
      <c r="E2247">
        <v>0</v>
      </c>
    </row>
    <row r="2248" spans="1:5">
      <c r="A2248" t="s">
        <v>3033</v>
      </c>
      <c r="B2248">
        <v>2</v>
      </c>
      <c r="C2248">
        <v>5</v>
      </c>
      <c r="D2248">
        <v>0</v>
      </c>
      <c r="E2248">
        <v>0</v>
      </c>
    </row>
    <row r="2249" spans="1:5">
      <c r="A2249" t="s">
        <v>3034</v>
      </c>
      <c r="B2249">
        <v>3</v>
      </c>
      <c r="C2249">
        <v>8</v>
      </c>
      <c r="D2249">
        <v>0</v>
      </c>
      <c r="E2249">
        <v>0</v>
      </c>
    </row>
    <row r="2250" spans="1:5">
      <c r="A2250" t="s">
        <v>3035</v>
      </c>
      <c r="B2250">
        <v>4</v>
      </c>
      <c r="C2250">
        <v>7</v>
      </c>
      <c r="D2250">
        <v>0</v>
      </c>
      <c r="E2250">
        <v>0</v>
      </c>
    </row>
    <row r="2251" spans="1:5">
      <c r="A2251" t="s">
        <v>3036</v>
      </c>
      <c r="B2251">
        <v>0</v>
      </c>
      <c r="C2251">
        <v>0</v>
      </c>
      <c r="D2251">
        <v>0</v>
      </c>
      <c r="E2251">
        <v>0</v>
      </c>
    </row>
    <row r="2252" spans="1:5">
      <c r="A2252" t="s">
        <v>3037</v>
      </c>
      <c r="B2252">
        <v>0</v>
      </c>
      <c r="C2252">
        <v>0</v>
      </c>
      <c r="D2252">
        <v>0</v>
      </c>
      <c r="E2252">
        <v>0</v>
      </c>
    </row>
    <row r="2253" spans="1:5">
      <c r="A2253" t="s">
        <v>3038</v>
      </c>
      <c r="B2253">
        <v>0</v>
      </c>
      <c r="C2253">
        <v>0</v>
      </c>
      <c r="D2253">
        <v>0</v>
      </c>
      <c r="E2253">
        <v>0</v>
      </c>
    </row>
    <row r="2254" spans="1:5">
      <c r="A2254" t="s">
        <v>3039</v>
      </c>
      <c r="B2254">
        <v>0</v>
      </c>
      <c r="C2254">
        <v>0</v>
      </c>
      <c r="D2254">
        <v>0</v>
      </c>
      <c r="E2254">
        <v>0</v>
      </c>
    </row>
    <row r="2256" spans="1:5">
      <c r="B2256" t="s">
        <v>3045</v>
      </c>
      <c r="C2256">
        <v>8</v>
      </c>
      <c r="D2256">
        <v>4</v>
      </c>
      <c r="E2256">
        <v>1</v>
      </c>
    </row>
    <row r="2257" spans="1:5">
      <c r="B2257" t="s">
        <v>3026</v>
      </c>
      <c r="C2257" t="s">
        <v>3027</v>
      </c>
      <c r="D2257" t="s">
        <v>3028</v>
      </c>
      <c r="E2257" t="s">
        <v>3029</v>
      </c>
    </row>
    <row r="2258" spans="1:5">
      <c r="A2258" t="s">
        <v>3032</v>
      </c>
      <c r="B2258">
        <v>2</v>
      </c>
      <c r="C2258">
        <v>5</v>
      </c>
      <c r="D2258">
        <v>0</v>
      </c>
      <c r="E2258">
        <v>0</v>
      </c>
    </row>
    <row r="2259" spans="1:5">
      <c r="A2259" t="s">
        <v>3033</v>
      </c>
      <c r="B2259">
        <v>1</v>
      </c>
      <c r="C2259">
        <v>6</v>
      </c>
      <c r="D2259">
        <v>0</v>
      </c>
      <c r="E2259">
        <v>0</v>
      </c>
    </row>
    <row r="2260" spans="1:5">
      <c r="A2260" t="s">
        <v>3034</v>
      </c>
      <c r="B2260">
        <v>3</v>
      </c>
      <c r="C2260">
        <v>8</v>
      </c>
      <c r="D2260">
        <v>0</v>
      </c>
      <c r="E2260">
        <v>0</v>
      </c>
    </row>
    <row r="2261" spans="1:5">
      <c r="A2261" t="s">
        <v>3035</v>
      </c>
      <c r="B2261">
        <v>4</v>
      </c>
      <c r="C2261">
        <v>7</v>
      </c>
      <c r="D2261">
        <v>0</v>
      </c>
      <c r="E2261">
        <v>0</v>
      </c>
    </row>
    <row r="2262" spans="1:5">
      <c r="A2262" t="s">
        <v>3036</v>
      </c>
      <c r="B2262">
        <v>0</v>
      </c>
      <c r="C2262">
        <v>0</v>
      </c>
      <c r="D2262">
        <v>0</v>
      </c>
      <c r="E2262">
        <v>0</v>
      </c>
    </row>
    <row r="2263" spans="1:5">
      <c r="A2263" t="s">
        <v>3037</v>
      </c>
      <c r="B2263">
        <v>0</v>
      </c>
      <c r="C2263">
        <v>0</v>
      </c>
      <c r="D2263">
        <v>0</v>
      </c>
      <c r="E2263">
        <v>0</v>
      </c>
    </row>
    <row r="2264" spans="1:5">
      <c r="A2264" t="s">
        <v>3038</v>
      </c>
      <c r="B2264">
        <v>0</v>
      </c>
      <c r="C2264">
        <v>0</v>
      </c>
      <c r="D2264">
        <v>0</v>
      </c>
      <c r="E2264">
        <v>0</v>
      </c>
    </row>
    <row r="2265" spans="1:5">
      <c r="A2265" t="s">
        <v>3039</v>
      </c>
      <c r="B2265">
        <v>0</v>
      </c>
      <c r="C2265">
        <v>0</v>
      </c>
      <c r="D2265">
        <v>0</v>
      </c>
      <c r="E2265">
        <v>0</v>
      </c>
    </row>
    <row r="2267" spans="1:5">
      <c r="B2267" t="s">
        <v>3046</v>
      </c>
      <c r="C2267">
        <v>8</v>
      </c>
      <c r="D2267">
        <v>4</v>
      </c>
      <c r="E2267">
        <v>1</v>
      </c>
    </row>
    <row r="2268" spans="1:5">
      <c r="B2268" t="s">
        <v>3026</v>
      </c>
      <c r="C2268" t="s">
        <v>3027</v>
      </c>
      <c r="D2268" t="s">
        <v>3028</v>
      </c>
      <c r="E2268" t="s">
        <v>3029</v>
      </c>
    </row>
    <row r="2269" spans="1:5">
      <c r="A2269" t="s">
        <v>3032</v>
      </c>
      <c r="B2269">
        <v>2</v>
      </c>
      <c r="C2269">
        <v>6</v>
      </c>
      <c r="D2269">
        <v>0</v>
      </c>
      <c r="E2269">
        <v>0</v>
      </c>
    </row>
    <row r="2270" spans="1:5">
      <c r="A2270" t="s">
        <v>3033</v>
      </c>
      <c r="B2270">
        <v>1</v>
      </c>
      <c r="C2270">
        <v>5</v>
      </c>
      <c r="D2270">
        <v>0</v>
      </c>
      <c r="E2270">
        <v>0</v>
      </c>
    </row>
    <row r="2271" spans="1:5">
      <c r="A2271" t="s">
        <v>3034</v>
      </c>
      <c r="B2271">
        <v>3</v>
      </c>
      <c r="C2271">
        <v>8</v>
      </c>
      <c r="D2271">
        <v>0</v>
      </c>
      <c r="E2271">
        <v>0</v>
      </c>
    </row>
    <row r="2272" spans="1:5">
      <c r="A2272" t="s">
        <v>3035</v>
      </c>
      <c r="B2272">
        <v>4</v>
      </c>
      <c r="C2272">
        <v>7</v>
      </c>
      <c r="D2272">
        <v>0</v>
      </c>
      <c r="E2272">
        <v>0</v>
      </c>
    </row>
    <row r="2273" spans="1:5">
      <c r="A2273" t="s">
        <v>3036</v>
      </c>
      <c r="B2273">
        <v>0</v>
      </c>
      <c r="C2273">
        <v>0</v>
      </c>
      <c r="D2273">
        <v>0</v>
      </c>
      <c r="E2273">
        <v>0</v>
      </c>
    </row>
    <row r="2274" spans="1:5">
      <c r="A2274" t="s">
        <v>3037</v>
      </c>
      <c r="B2274">
        <v>0</v>
      </c>
      <c r="C2274">
        <v>0</v>
      </c>
      <c r="D2274">
        <v>0</v>
      </c>
      <c r="E2274">
        <v>0</v>
      </c>
    </row>
    <row r="2275" spans="1:5">
      <c r="A2275" t="s">
        <v>3038</v>
      </c>
      <c r="B2275">
        <v>0</v>
      </c>
      <c r="C2275">
        <v>0</v>
      </c>
      <c r="D2275">
        <v>0</v>
      </c>
      <c r="E2275">
        <v>0</v>
      </c>
    </row>
    <row r="2276" spans="1:5">
      <c r="A2276" t="s">
        <v>3039</v>
      </c>
      <c r="B2276">
        <v>0</v>
      </c>
      <c r="C2276">
        <v>0</v>
      </c>
      <c r="D2276">
        <v>0</v>
      </c>
      <c r="E2276">
        <v>0</v>
      </c>
    </row>
    <row r="2278" spans="1:5">
      <c r="B2278" t="s">
        <v>3047</v>
      </c>
      <c r="C2278">
        <v>8</v>
      </c>
      <c r="D2278">
        <v>4</v>
      </c>
      <c r="E2278">
        <v>1</v>
      </c>
    </row>
    <row r="2279" spans="1:5">
      <c r="B2279" t="s">
        <v>3026</v>
      </c>
      <c r="C2279" t="s">
        <v>3027</v>
      </c>
      <c r="D2279" t="s">
        <v>3028</v>
      </c>
      <c r="E2279" t="s">
        <v>3029</v>
      </c>
    </row>
    <row r="2280" spans="1:5">
      <c r="A2280" t="s">
        <v>3032</v>
      </c>
      <c r="B2280">
        <v>1</v>
      </c>
      <c r="C2280">
        <v>5</v>
      </c>
      <c r="D2280">
        <v>0</v>
      </c>
      <c r="E2280">
        <v>0</v>
      </c>
    </row>
    <row r="2281" spans="1:5">
      <c r="A2281" t="s">
        <v>3033</v>
      </c>
      <c r="B2281">
        <v>2</v>
      </c>
      <c r="C2281">
        <v>6</v>
      </c>
      <c r="D2281">
        <v>0</v>
      </c>
      <c r="E2281">
        <v>0</v>
      </c>
    </row>
    <row r="2282" spans="1:5">
      <c r="A2282" t="s">
        <v>3034</v>
      </c>
      <c r="B2282">
        <v>4</v>
      </c>
      <c r="C2282">
        <v>7</v>
      </c>
      <c r="D2282">
        <v>0</v>
      </c>
      <c r="E2282">
        <v>0</v>
      </c>
    </row>
    <row r="2283" spans="1:5">
      <c r="A2283" t="s">
        <v>3035</v>
      </c>
      <c r="B2283">
        <v>3</v>
      </c>
      <c r="C2283">
        <v>8</v>
      </c>
      <c r="D2283">
        <v>0</v>
      </c>
      <c r="E2283">
        <v>0</v>
      </c>
    </row>
    <row r="2284" spans="1:5">
      <c r="A2284" t="s">
        <v>3036</v>
      </c>
      <c r="B2284">
        <v>0</v>
      </c>
      <c r="C2284">
        <v>0</v>
      </c>
      <c r="D2284">
        <v>0</v>
      </c>
      <c r="E2284">
        <v>0</v>
      </c>
    </row>
    <row r="2285" spans="1:5">
      <c r="A2285" t="s">
        <v>3037</v>
      </c>
      <c r="B2285">
        <v>0</v>
      </c>
      <c r="C2285">
        <v>0</v>
      </c>
      <c r="D2285">
        <v>0</v>
      </c>
      <c r="E2285">
        <v>0</v>
      </c>
    </row>
    <row r="2286" spans="1:5">
      <c r="A2286" t="s">
        <v>3038</v>
      </c>
      <c r="B2286">
        <v>0</v>
      </c>
      <c r="C2286">
        <v>0</v>
      </c>
      <c r="D2286">
        <v>0</v>
      </c>
      <c r="E2286">
        <v>0</v>
      </c>
    </row>
    <row r="2287" spans="1:5">
      <c r="A2287" t="s">
        <v>3039</v>
      </c>
      <c r="B2287">
        <v>0</v>
      </c>
      <c r="C2287">
        <v>0</v>
      </c>
      <c r="D2287">
        <v>0</v>
      </c>
      <c r="E2287">
        <v>0</v>
      </c>
    </row>
    <row r="2289" spans="1:5">
      <c r="B2289" t="s">
        <v>3048</v>
      </c>
      <c r="C2289">
        <v>8</v>
      </c>
      <c r="D2289">
        <v>4</v>
      </c>
      <c r="E2289">
        <v>1</v>
      </c>
    </row>
    <row r="2290" spans="1:5">
      <c r="B2290" t="s">
        <v>3026</v>
      </c>
      <c r="C2290" t="s">
        <v>3027</v>
      </c>
      <c r="D2290" t="s">
        <v>3028</v>
      </c>
      <c r="E2290" t="s">
        <v>3029</v>
      </c>
    </row>
    <row r="2291" spans="1:5">
      <c r="A2291" t="s">
        <v>3032</v>
      </c>
      <c r="B2291">
        <v>1</v>
      </c>
      <c r="C2291">
        <v>6</v>
      </c>
      <c r="D2291">
        <v>0</v>
      </c>
      <c r="E2291">
        <v>0</v>
      </c>
    </row>
    <row r="2292" spans="1:5">
      <c r="A2292" t="s">
        <v>3033</v>
      </c>
      <c r="B2292">
        <v>2</v>
      </c>
      <c r="C2292">
        <v>5</v>
      </c>
      <c r="D2292">
        <v>0</v>
      </c>
      <c r="E2292">
        <v>0</v>
      </c>
    </row>
    <row r="2293" spans="1:5">
      <c r="A2293" t="s">
        <v>3034</v>
      </c>
      <c r="B2293">
        <v>4</v>
      </c>
      <c r="C2293">
        <v>7</v>
      </c>
      <c r="D2293">
        <v>0</v>
      </c>
      <c r="E2293">
        <v>0</v>
      </c>
    </row>
    <row r="2294" spans="1:5">
      <c r="A2294" t="s">
        <v>3035</v>
      </c>
      <c r="B2294">
        <v>3</v>
      </c>
      <c r="C2294">
        <v>8</v>
      </c>
      <c r="D2294">
        <v>0</v>
      </c>
      <c r="E2294">
        <v>0</v>
      </c>
    </row>
    <row r="2295" spans="1:5">
      <c r="A2295" t="s">
        <v>3036</v>
      </c>
      <c r="B2295">
        <v>0</v>
      </c>
      <c r="C2295">
        <v>0</v>
      </c>
      <c r="D2295">
        <v>0</v>
      </c>
      <c r="E2295">
        <v>0</v>
      </c>
    </row>
    <row r="2296" spans="1:5">
      <c r="A2296" t="s">
        <v>3037</v>
      </c>
      <c r="B2296">
        <v>0</v>
      </c>
      <c r="C2296">
        <v>0</v>
      </c>
      <c r="D2296">
        <v>0</v>
      </c>
      <c r="E2296">
        <v>0</v>
      </c>
    </row>
    <row r="2297" spans="1:5">
      <c r="A2297" t="s">
        <v>3038</v>
      </c>
      <c r="B2297">
        <v>0</v>
      </c>
      <c r="C2297">
        <v>0</v>
      </c>
      <c r="D2297">
        <v>0</v>
      </c>
      <c r="E2297">
        <v>0</v>
      </c>
    </row>
    <row r="2298" spans="1:5">
      <c r="A2298" t="s">
        <v>3039</v>
      </c>
      <c r="B2298">
        <v>0</v>
      </c>
      <c r="C2298">
        <v>0</v>
      </c>
      <c r="D2298">
        <v>0</v>
      </c>
      <c r="E2298">
        <v>0</v>
      </c>
    </row>
    <row r="2300" spans="1:5">
      <c r="B2300" t="s">
        <v>3049</v>
      </c>
      <c r="C2300">
        <v>8</v>
      </c>
      <c r="D2300">
        <v>4</v>
      </c>
      <c r="E2300">
        <v>1</v>
      </c>
    </row>
    <row r="2301" spans="1:5">
      <c r="B2301" t="s">
        <v>3026</v>
      </c>
      <c r="C2301" t="s">
        <v>3027</v>
      </c>
      <c r="D2301" t="s">
        <v>3028</v>
      </c>
      <c r="E2301" t="s">
        <v>3029</v>
      </c>
    </row>
    <row r="2302" spans="1:5">
      <c r="A2302" t="s">
        <v>3032</v>
      </c>
      <c r="B2302">
        <v>2</v>
      </c>
      <c r="C2302">
        <v>5</v>
      </c>
      <c r="D2302">
        <v>0</v>
      </c>
      <c r="E2302">
        <v>0</v>
      </c>
    </row>
    <row r="2303" spans="1:5">
      <c r="A2303" t="s">
        <v>3033</v>
      </c>
      <c r="B2303">
        <v>1</v>
      </c>
      <c r="C2303">
        <v>6</v>
      </c>
      <c r="D2303">
        <v>0</v>
      </c>
      <c r="E2303">
        <v>0</v>
      </c>
    </row>
    <row r="2304" spans="1:5">
      <c r="A2304" t="s">
        <v>3034</v>
      </c>
      <c r="B2304">
        <v>4</v>
      </c>
      <c r="C2304">
        <v>7</v>
      </c>
      <c r="D2304">
        <v>0</v>
      </c>
      <c r="E2304">
        <v>0</v>
      </c>
    </row>
    <row r="2305" spans="1:5">
      <c r="A2305" t="s">
        <v>3035</v>
      </c>
      <c r="B2305">
        <v>3</v>
      </c>
      <c r="C2305">
        <v>8</v>
      </c>
      <c r="D2305">
        <v>0</v>
      </c>
      <c r="E2305">
        <v>0</v>
      </c>
    </row>
    <row r="2306" spans="1:5">
      <c r="A2306" t="s">
        <v>3036</v>
      </c>
      <c r="B2306">
        <v>0</v>
      </c>
      <c r="C2306">
        <v>0</v>
      </c>
      <c r="D2306">
        <v>0</v>
      </c>
      <c r="E2306">
        <v>0</v>
      </c>
    </row>
    <row r="2307" spans="1:5">
      <c r="A2307" t="s">
        <v>3037</v>
      </c>
      <c r="B2307">
        <v>0</v>
      </c>
      <c r="C2307">
        <v>0</v>
      </c>
      <c r="D2307">
        <v>0</v>
      </c>
      <c r="E2307">
        <v>0</v>
      </c>
    </row>
    <row r="2308" spans="1:5">
      <c r="A2308" t="s">
        <v>3038</v>
      </c>
      <c r="B2308">
        <v>0</v>
      </c>
      <c r="C2308">
        <v>0</v>
      </c>
      <c r="D2308">
        <v>0</v>
      </c>
      <c r="E2308">
        <v>0</v>
      </c>
    </row>
    <row r="2309" spans="1:5">
      <c r="A2309" t="s">
        <v>3039</v>
      </c>
      <c r="B2309">
        <v>0</v>
      </c>
      <c r="C2309">
        <v>0</v>
      </c>
      <c r="D2309">
        <v>0</v>
      </c>
      <c r="E2309">
        <v>0</v>
      </c>
    </row>
    <row r="2311" spans="1:5">
      <c r="B2311" t="s">
        <v>3050</v>
      </c>
      <c r="C2311">
        <v>8</v>
      </c>
      <c r="D2311">
        <v>4</v>
      </c>
      <c r="E2311">
        <v>1</v>
      </c>
    </row>
    <row r="2312" spans="1:5">
      <c r="B2312" t="s">
        <v>3026</v>
      </c>
      <c r="C2312" t="s">
        <v>3027</v>
      </c>
      <c r="D2312" t="s">
        <v>3028</v>
      </c>
      <c r="E2312" t="s">
        <v>3029</v>
      </c>
    </row>
    <row r="2313" spans="1:5">
      <c r="A2313" t="s">
        <v>3032</v>
      </c>
      <c r="B2313">
        <v>2</v>
      </c>
      <c r="C2313">
        <v>6</v>
      </c>
      <c r="D2313">
        <v>0</v>
      </c>
      <c r="E2313">
        <v>0</v>
      </c>
    </row>
    <row r="2314" spans="1:5">
      <c r="A2314" t="s">
        <v>3033</v>
      </c>
      <c r="B2314">
        <v>1</v>
      </c>
      <c r="C2314">
        <v>5</v>
      </c>
      <c r="D2314">
        <v>0</v>
      </c>
      <c r="E2314">
        <v>0</v>
      </c>
    </row>
    <row r="2315" spans="1:5">
      <c r="A2315" t="s">
        <v>3034</v>
      </c>
      <c r="B2315">
        <v>4</v>
      </c>
      <c r="C2315">
        <v>7</v>
      </c>
      <c r="D2315">
        <v>0</v>
      </c>
      <c r="E2315">
        <v>0</v>
      </c>
    </row>
    <row r="2316" spans="1:5">
      <c r="A2316" t="s">
        <v>3035</v>
      </c>
      <c r="B2316">
        <v>3</v>
      </c>
      <c r="C2316">
        <v>8</v>
      </c>
      <c r="D2316">
        <v>0</v>
      </c>
      <c r="E2316">
        <v>0</v>
      </c>
    </row>
    <row r="2317" spans="1:5">
      <c r="A2317" t="s">
        <v>3036</v>
      </c>
      <c r="B2317">
        <v>0</v>
      </c>
      <c r="C2317">
        <v>0</v>
      </c>
      <c r="D2317">
        <v>0</v>
      </c>
      <c r="E2317">
        <v>0</v>
      </c>
    </row>
    <row r="2318" spans="1:5">
      <c r="A2318" t="s">
        <v>3037</v>
      </c>
      <c r="B2318">
        <v>0</v>
      </c>
      <c r="C2318">
        <v>0</v>
      </c>
      <c r="D2318">
        <v>0</v>
      </c>
      <c r="E2318">
        <v>0</v>
      </c>
    </row>
    <row r="2319" spans="1:5">
      <c r="A2319" t="s">
        <v>3038</v>
      </c>
      <c r="B2319">
        <v>0</v>
      </c>
      <c r="C2319">
        <v>0</v>
      </c>
      <c r="D2319">
        <v>0</v>
      </c>
      <c r="E2319">
        <v>0</v>
      </c>
    </row>
    <row r="2320" spans="1:5">
      <c r="A2320" t="s">
        <v>3039</v>
      </c>
      <c r="B2320">
        <v>0</v>
      </c>
      <c r="C2320">
        <v>0</v>
      </c>
      <c r="D2320">
        <v>0</v>
      </c>
      <c r="E2320">
        <v>0</v>
      </c>
    </row>
    <row r="2322" spans="1:5">
      <c r="B2322" t="s">
        <v>3051</v>
      </c>
      <c r="C2322">
        <v>8</v>
      </c>
      <c r="D2322">
        <v>4</v>
      </c>
      <c r="E2322">
        <v>1</v>
      </c>
    </row>
    <row r="2323" spans="1:5">
      <c r="B2323" t="s">
        <v>3026</v>
      </c>
      <c r="C2323" t="s">
        <v>3027</v>
      </c>
      <c r="D2323" t="s">
        <v>3028</v>
      </c>
      <c r="E2323" t="s">
        <v>3029</v>
      </c>
    </row>
    <row r="2324" spans="1:5">
      <c r="A2324" t="s">
        <v>3032</v>
      </c>
      <c r="B2324">
        <v>1</v>
      </c>
      <c r="C2324">
        <v>5</v>
      </c>
      <c r="D2324">
        <v>0</v>
      </c>
      <c r="E2324">
        <v>0</v>
      </c>
    </row>
    <row r="2325" spans="1:5">
      <c r="A2325" t="s">
        <v>3033</v>
      </c>
      <c r="B2325">
        <v>2</v>
      </c>
      <c r="C2325">
        <v>6</v>
      </c>
      <c r="D2325">
        <v>0</v>
      </c>
      <c r="E2325">
        <v>0</v>
      </c>
    </row>
    <row r="2326" spans="1:5">
      <c r="A2326" t="s">
        <v>3034</v>
      </c>
      <c r="B2326">
        <v>4</v>
      </c>
      <c r="C2326">
        <v>8</v>
      </c>
      <c r="D2326">
        <v>0</v>
      </c>
      <c r="E2326">
        <v>0</v>
      </c>
    </row>
    <row r="2327" spans="1:5">
      <c r="A2327" t="s">
        <v>3035</v>
      </c>
      <c r="B2327">
        <v>3</v>
      </c>
      <c r="C2327">
        <v>7</v>
      </c>
      <c r="D2327">
        <v>0</v>
      </c>
      <c r="E2327">
        <v>0</v>
      </c>
    </row>
    <row r="2328" spans="1:5">
      <c r="A2328" t="s">
        <v>3036</v>
      </c>
      <c r="B2328">
        <v>0</v>
      </c>
      <c r="C2328">
        <v>0</v>
      </c>
      <c r="D2328">
        <v>0</v>
      </c>
      <c r="E2328">
        <v>0</v>
      </c>
    </row>
    <row r="2329" spans="1:5">
      <c r="A2329" t="s">
        <v>3037</v>
      </c>
      <c r="B2329">
        <v>0</v>
      </c>
      <c r="C2329">
        <v>0</v>
      </c>
      <c r="D2329">
        <v>0</v>
      </c>
      <c r="E2329">
        <v>0</v>
      </c>
    </row>
    <row r="2330" spans="1:5">
      <c r="A2330" t="s">
        <v>3038</v>
      </c>
      <c r="B2330">
        <v>0</v>
      </c>
      <c r="C2330">
        <v>0</v>
      </c>
      <c r="D2330">
        <v>0</v>
      </c>
      <c r="E2330">
        <v>0</v>
      </c>
    </row>
    <row r="2331" spans="1:5">
      <c r="A2331" t="s">
        <v>3039</v>
      </c>
      <c r="B2331">
        <v>0</v>
      </c>
      <c r="C2331">
        <v>0</v>
      </c>
      <c r="D2331">
        <v>0</v>
      </c>
      <c r="E2331">
        <v>0</v>
      </c>
    </row>
    <row r="2333" spans="1:5">
      <c r="B2333" t="s">
        <v>3052</v>
      </c>
      <c r="C2333">
        <v>8</v>
      </c>
      <c r="D2333">
        <v>4</v>
      </c>
      <c r="E2333">
        <v>1</v>
      </c>
    </row>
    <row r="2334" spans="1:5">
      <c r="B2334" t="s">
        <v>3026</v>
      </c>
      <c r="C2334" t="s">
        <v>3027</v>
      </c>
      <c r="D2334" t="s">
        <v>3028</v>
      </c>
      <c r="E2334" t="s">
        <v>3029</v>
      </c>
    </row>
    <row r="2335" spans="1:5">
      <c r="A2335" t="s">
        <v>3032</v>
      </c>
      <c r="B2335">
        <v>1</v>
      </c>
      <c r="C2335">
        <v>6</v>
      </c>
      <c r="D2335">
        <v>0</v>
      </c>
      <c r="E2335">
        <v>0</v>
      </c>
    </row>
    <row r="2336" spans="1:5">
      <c r="A2336" t="s">
        <v>3033</v>
      </c>
      <c r="B2336">
        <v>2</v>
      </c>
      <c r="C2336">
        <v>5</v>
      </c>
      <c r="D2336">
        <v>0</v>
      </c>
      <c r="E2336">
        <v>0</v>
      </c>
    </row>
    <row r="2337" spans="1:5">
      <c r="A2337" t="s">
        <v>3034</v>
      </c>
      <c r="B2337">
        <v>4</v>
      </c>
      <c r="C2337">
        <v>8</v>
      </c>
      <c r="D2337">
        <v>0</v>
      </c>
      <c r="E2337">
        <v>0</v>
      </c>
    </row>
    <row r="2338" spans="1:5">
      <c r="A2338" t="s">
        <v>3035</v>
      </c>
      <c r="B2338">
        <v>3</v>
      </c>
      <c r="C2338">
        <v>7</v>
      </c>
      <c r="D2338">
        <v>0</v>
      </c>
      <c r="E2338">
        <v>0</v>
      </c>
    </row>
    <row r="2339" spans="1:5">
      <c r="A2339" t="s">
        <v>3036</v>
      </c>
      <c r="B2339">
        <v>0</v>
      </c>
      <c r="C2339">
        <v>0</v>
      </c>
      <c r="D2339">
        <v>0</v>
      </c>
      <c r="E2339">
        <v>0</v>
      </c>
    </row>
    <row r="2340" spans="1:5">
      <c r="A2340" t="s">
        <v>3037</v>
      </c>
      <c r="B2340">
        <v>0</v>
      </c>
      <c r="C2340">
        <v>0</v>
      </c>
      <c r="D2340">
        <v>0</v>
      </c>
      <c r="E2340">
        <v>0</v>
      </c>
    </row>
    <row r="2341" spans="1:5">
      <c r="A2341" t="s">
        <v>3038</v>
      </c>
      <c r="B2341">
        <v>0</v>
      </c>
      <c r="C2341">
        <v>0</v>
      </c>
      <c r="D2341">
        <v>0</v>
      </c>
      <c r="E2341">
        <v>0</v>
      </c>
    </row>
    <row r="2342" spans="1:5">
      <c r="A2342" t="s">
        <v>3039</v>
      </c>
      <c r="B2342">
        <v>0</v>
      </c>
      <c r="C2342">
        <v>0</v>
      </c>
      <c r="D2342">
        <v>0</v>
      </c>
      <c r="E2342">
        <v>0</v>
      </c>
    </row>
    <row r="2344" spans="1:5">
      <c r="B2344" t="s">
        <v>3053</v>
      </c>
      <c r="C2344">
        <v>8</v>
      </c>
      <c r="D2344">
        <v>4</v>
      </c>
      <c r="E2344">
        <v>1</v>
      </c>
    </row>
    <row r="2345" spans="1:5">
      <c r="B2345" t="s">
        <v>3026</v>
      </c>
      <c r="C2345" t="s">
        <v>3027</v>
      </c>
      <c r="D2345" t="s">
        <v>3028</v>
      </c>
      <c r="E2345" t="s">
        <v>3029</v>
      </c>
    </row>
    <row r="2346" spans="1:5">
      <c r="A2346" t="s">
        <v>3032</v>
      </c>
      <c r="B2346">
        <v>2</v>
      </c>
      <c r="C2346">
        <v>5</v>
      </c>
      <c r="D2346">
        <v>0</v>
      </c>
      <c r="E2346">
        <v>0</v>
      </c>
    </row>
    <row r="2347" spans="1:5">
      <c r="A2347" t="s">
        <v>3033</v>
      </c>
      <c r="B2347">
        <v>1</v>
      </c>
      <c r="C2347">
        <v>6</v>
      </c>
      <c r="D2347">
        <v>0</v>
      </c>
      <c r="E2347">
        <v>0</v>
      </c>
    </row>
    <row r="2348" spans="1:5">
      <c r="A2348" t="s">
        <v>3034</v>
      </c>
      <c r="B2348">
        <v>4</v>
      </c>
      <c r="C2348">
        <v>8</v>
      </c>
      <c r="D2348">
        <v>0</v>
      </c>
      <c r="E2348">
        <v>0</v>
      </c>
    </row>
    <row r="2349" spans="1:5">
      <c r="A2349" t="s">
        <v>3035</v>
      </c>
      <c r="B2349">
        <v>3</v>
      </c>
      <c r="C2349">
        <v>7</v>
      </c>
      <c r="D2349">
        <v>0</v>
      </c>
      <c r="E2349">
        <v>0</v>
      </c>
    </row>
    <row r="2350" spans="1:5">
      <c r="A2350" t="s">
        <v>3036</v>
      </c>
      <c r="B2350">
        <v>0</v>
      </c>
      <c r="C2350">
        <v>0</v>
      </c>
      <c r="D2350">
        <v>0</v>
      </c>
      <c r="E2350">
        <v>0</v>
      </c>
    </row>
    <row r="2351" spans="1:5">
      <c r="A2351" t="s">
        <v>3037</v>
      </c>
      <c r="B2351">
        <v>0</v>
      </c>
      <c r="C2351">
        <v>0</v>
      </c>
      <c r="D2351">
        <v>0</v>
      </c>
      <c r="E2351">
        <v>0</v>
      </c>
    </row>
    <row r="2352" spans="1:5">
      <c r="A2352" t="s">
        <v>3038</v>
      </c>
      <c r="B2352">
        <v>0</v>
      </c>
      <c r="C2352">
        <v>0</v>
      </c>
      <c r="D2352">
        <v>0</v>
      </c>
      <c r="E2352">
        <v>0</v>
      </c>
    </row>
    <row r="2353" spans="1:19">
      <c r="A2353" t="s">
        <v>3039</v>
      </c>
      <c r="B2353">
        <v>0</v>
      </c>
      <c r="C2353">
        <v>0</v>
      </c>
      <c r="D2353">
        <v>0</v>
      </c>
      <c r="E2353">
        <v>0</v>
      </c>
    </row>
    <row r="2355" spans="1:19">
      <c r="B2355" t="s">
        <v>3054</v>
      </c>
      <c r="C2355">
        <v>8</v>
      </c>
      <c r="D2355">
        <v>4</v>
      </c>
      <c r="E2355">
        <v>1</v>
      </c>
    </row>
    <row r="2356" spans="1:19">
      <c r="B2356" t="s">
        <v>3026</v>
      </c>
      <c r="C2356" t="s">
        <v>3027</v>
      </c>
      <c r="D2356" t="s">
        <v>3028</v>
      </c>
      <c r="E2356" t="s">
        <v>3029</v>
      </c>
    </row>
    <row r="2357" spans="1:19">
      <c r="A2357" t="s">
        <v>3032</v>
      </c>
      <c r="B2357">
        <v>2</v>
      </c>
      <c r="C2357">
        <v>6</v>
      </c>
      <c r="D2357">
        <v>0</v>
      </c>
      <c r="E2357">
        <v>0</v>
      </c>
    </row>
    <row r="2358" spans="1:19">
      <c r="A2358" t="s">
        <v>3033</v>
      </c>
      <c r="B2358">
        <v>1</v>
      </c>
      <c r="C2358">
        <v>5</v>
      </c>
      <c r="D2358">
        <v>0</v>
      </c>
      <c r="E2358">
        <v>0</v>
      </c>
    </row>
    <row r="2359" spans="1:19">
      <c r="A2359" t="s">
        <v>3034</v>
      </c>
      <c r="B2359">
        <v>4</v>
      </c>
      <c r="C2359">
        <v>8</v>
      </c>
      <c r="D2359">
        <v>0</v>
      </c>
      <c r="E2359">
        <v>0</v>
      </c>
    </row>
    <row r="2360" spans="1:19">
      <c r="A2360" t="s">
        <v>3035</v>
      </c>
      <c r="B2360">
        <v>3</v>
      </c>
      <c r="C2360">
        <v>7</v>
      </c>
      <c r="D2360">
        <v>0</v>
      </c>
      <c r="E2360">
        <v>0</v>
      </c>
    </row>
    <row r="2361" spans="1:19">
      <c r="A2361" t="s">
        <v>3036</v>
      </c>
      <c r="B2361">
        <v>0</v>
      </c>
      <c r="C2361">
        <v>0</v>
      </c>
      <c r="D2361">
        <v>0</v>
      </c>
      <c r="E2361">
        <v>0</v>
      </c>
    </row>
    <row r="2362" spans="1:19">
      <c r="A2362" t="s">
        <v>3037</v>
      </c>
      <c r="B2362">
        <v>0</v>
      </c>
      <c r="C2362">
        <v>0</v>
      </c>
      <c r="D2362">
        <v>0</v>
      </c>
      <c r="E2362">
        <v>0</v>
      </c>
    </row>
    <row r="2363" spans="1:19">
      <c r="A2363" t="s">
        <v>3038</v>
      </c>
      <c r="B2363">
        <v>0</v>
      </c>
      <c r="C2363">
        <v>0</v>
      </c>
      <c r="D2363">
        <v>0</v>
      </c>
      <c r="E2363">
        <v>0</v>
      </c>
    </row>
    <row r="2364" spans="1:19">
      <c r="A2364" t="s">
        <v>3039</v>
      </c>
      <c r="B2364">
        <v>0</v>
      </c>
      <c r="C2364">
        <v>0</v>
      </c>
      <c r="D2364">
        <v>0</v>
      </c>
      <c r="E2364">
        <v>0</v>
      </c>
    </row>
    <row r="2366" spans="1:19">
      <c r="B2366" t="s">
        <v>3055</v>
      </c>
      <c r="C2366">
        <v>2</v>
      </c>
      <c r="D2366">
        <v>18</v>
      </c>
      <c r="E2366">
        <v>1</v>
      </c>
    </row>
    <row r="2367" spans="1:19">
      <c r="B2367" t="s">
        <v>3056</v>
      </c>
      <c r="C2367" t="s">
        <v>3057</v>
      </c>
      <c r="D2367" t="s">
        <v>3058</v>
      </c>
      <c r="E2367" t="s">
        <v>3059</v>
      </c>
      <c r="F2367" t="s">
        <v>3060</v>
      </c>
      <c r="G2367" t="s">
        <v>3061</v>
      </c>
      <c r="H2367" t="s">
        <v>3062</v>
      </c>
      <c r="I2367" t="s">
        <v>3063</v>
      </c>
      <c r="J2367" t="s">
        <v>3064</v>
      </c>
      <c r="K2367" t="s">
        <v>3065</v>
      </c>
      <c r="L2367" t="s">
        <v>3066</v>
      </c>
      <c r="M2367" t="s">
        <v>3067</v>
      </c>
      <c r="N2367" t="s">
        <v>3068</v>
      </c>
      <c r="O2367" t="s">
        <v>3069</v>
      </c>
      <c r="P2367" t="s">
        <v>3070</v>
      </c>
      <c r="Q2367" t="s">
        <v>3071</v>
      </c>
      <c r="R2367" t="s">
        <v>3072</v>
      </c>
      <c r="S2367" t="s">
        <v>3073</v>
      </c>
    </row>
    <row r="2368" spans="1:19">
      <c r="A2368" t="s">
        <v>3074</v>
      </c>
      <c r="B2368" t="str">
        <f t="shared" ref="B2368:K2369" si="331">"OFF"</f>
        <v>OFF</v>
      </c>
      <c r="C2368" t="str">
        <f t="shared" si="331"/>
        <v>OFF</v>
      </c>
      <c r="D2368" t="str">
        <f t="shared" si="331"/>
        <v>OFF</v>
      </c>
      <c r="E2368" t="str">
        <f t="shared" si="331"/>
        <v>OFF</v>
      </c>
      <c r="F2368" t="str">
        <f t="shared" si="331"/>
        <v>OFF</v>
      </c>
      <c r="G2368" t="str">
        <f t="shared" si="331"/>
        <v>OFF</v>
      </c>
      <c r="H2368" t="str">
        <f t="shared" si="331"/>
        <v>OFF</v>
      </c>
      <c r="I2368" t="str">
        <f t="shared" si="331"/>
        <v>OFF</v>
      </c>
      <c r="J2368" t="str">
        <f t="shared" si="331"/>
        <v>OFF</v>
      </c>
      <c r="K2368" t="str">
        <f t="shared" si="331"/>
        <v>OFF</v>
      </c>
      <c r="L2368" t="str">
        <f t="shared" ref="L2368:S2369" si="332">"OFF"</f>
        <v>OFF</v>
      </c>
      <c r="M2368" t="str">
        <f t="shared" si="332"/>
        <v>OFF</v>
      </c>
      <c r="N2368" t="str">
        <f t="shared" si="332"/>
        <v>OFF</v>
      </c>
      <c r="O2368" t="str">
        <f t="shared" si="332"/>
        <v>OFF</v>
      </c>
      <c r="P2368" t="str">
        <f t="shared" si="332"/>
        <v>OFF</v>
      </c>
      <c r="Q2368" t="str">
        <f t="shared" si="332"/>
        <v>OFF</v>
      </c>
      <c r="R2368" t="str">
        <f t="shared" si="332"/>
        <v>OFF</v>
      </c>
      <c r="S2368" t="str">
        <f t="shared" si="332"/>
        <v>OFF</v>
      </c>
    </row>
    <row r="2369" spans="1:65">
      <c r="A2369" t="s">
        <v>3075</v>
      </c>
      <c r="B2369" t="str">
        <f t="shared" si="331"/>
        <v>OFF</v>
      </c>
      <c r="C2369" t="str">
        <f t="shared" si="331"/>
        <v>OFF</v>
      </c>
      <c r="D2369" t="str">
        <f t="shared" si="331"/>
        <v>OFF</v>
      </c>
      <c r="E2369" t="str">
        <f t="shared" si="331"/>
        <v>OFF</v>
      </c>
      <c r="F2369" t="str">
        <f t="shared" si="331"/>
        <v>OFF</v>
      </c>
      <c r="G2369" t="str">
        <f t="shared" si="331"/>
        <v>OFF</v>
      </c>
      <c r="H2369" t="str">
        <f t="shared" si="331"/>
        <v>OFF</v>
      </c>
      <c r="I2369" t="str">
        <f t="shared" si="331"/>
        <v>OFF</v>
      </c>
      <c r="J2369" t="str">
        <f t="shared" si="331"/>
        <v>OFF</v>
      </c>
      <c r="K2369" t="str">
        <f t="shared" si="331"/>
        <v>OFF</v>
      </c>
      <c r="L2369" t="str">
        <f t="shared" si="332"/>
        <v>OFF</v>
      </c>
      <c r="M2369" t="str">
        <f t="shared" si="332"/>
        <v>OFF</v>
      </c>
      <c r="N2369" t="str">
        <f t="shared" si="332"/>
        <v>OFF</v>
      </c>
      <c r="O2369" t="str">
        <f t="shared" si="332"/>
        <v>OFF</v>
      </c>
      <c r="P2369" t="str">
        <f t="shared" si="332"/>
        <v>OFF</v>
      </c>
      <c r="Q2369" t="str">
        <f t="shared" si="332"/>
        <v>OFF</v>
      </c>
      <c r="R2369" t="str">
        <f t="shared" si="332"/>
        <v>OFF</v>
      </c>
      <c r="S2369" t="str">
        <f t="shared" si="332"/>
        <v>OFF</v>
      </c>
    </row>
    <row r="2371" spans="1:65">
      <c r="B2371" t="s">
        <v>3076</v>
      </c>
      <c r="C2371">
        <v>1</v>
      </c>
      <c r="D2371">
        <v>1</v>
      </c>
      <c r="E2371">
        <v>1</v>
      </c>
    </row>
    <row r="2372" spans="1:65">
      <c r="B2372" t="s">
        <v>1508</v>
      </c>
    </row>
    <row r="2373" spans="1:65">
      <c r="A2373" t="s">
        <v>3077</v>
      </c>
      <c r="B2373">
        <v>0</v>
      </c>
    </row>
    <row r="2375" spans="1:65">
      <c r="B2375" t="s">
        <v>3078</v>
      </c>
      <c r="C2375">
        <v>2</v>
      </c>
      <c r="D2375">
        <v>64</v>
      </c>
      <c r="E2375">
        <v>1</v>
      </c>
    </row>
    <row r="2376" spans="1:65">
      <c r="B2376" t="s">
        <v>3079</v>
      </c>
      <c r="C2376" t="s">
        <v>3080</v>
      </c>
      <c r="D2376" t="s">
        <v>3081</v>
      </c>
      <c r="E2376" t="s">
        <v>3082</v>
      </c>
      <c r="F2376" t="s">
        <v>3083</v>
      </c>
      <c r="G2376" t="s">
        <v>3084</v>
      </c>
      <c r="H2376" t="s">
        <v>3085</v>
      </c>
      <c r="I2376" t="s">
        <v>3086</v>
      </c>
      <c r="J2376" t="s">
        <v>3087</v>
      </c>
      <c r="K2376" t="s">
        <v>3088</v>
      </c>
      <c r="L2376" t="s">
        <v>3089</v>
      </c>
      <c r="M2376" t="s">
        <v>3090</v>
      </c>
      <c r="N2376" t="s">
        <v>3091</v>
      </c>
      <c r="O2376" t="s">
        <v>3092</v>
      </c>
      <c r="P2376" t="s">
        <v>3093</v>
      </c>
      <c r="Q2376" t="s">
        <v>3094</v>
      </c>
      <c r="R2376" t="s">
        <v>3095</v>
      </c>
      <c r="S2376" t="s">
        <v>3096</v>
      </c>
      <c r="T2376" t="s">
        <v>3097</v>
      </c>
      <c r="U2376" t="s">
        <v>3098</v>
      </c>
      <c r="V2376" t="s">
        <v>3099</v>
      </c>
      <c r="W2376" t="s">
        <v>3100</v>
      </c>
      <c r="X2376" t="s">
        <v>3101</v>
      </c>
      <c r="Y2376" t="s">
        <v>3102</v>
      </c>
      <c r="Z2376" t="s">
        <v>3103</v>
      </c>
      <c r="AA2376" t="s">
        <v>3104</v>
      </c>
      <c r="AB2376" t="s">
        <v>3105</v>
      </c>
      <c r="AC2376" t="s">
        <v>3106</v>
      </c>
      <c r="AD2376" t="s">
        <v>3107</v>
      </c>
      <c r="AE2376" t="s">
        <v>3108</v>
      </c>
      <c r="AF2376" t="s">
        <v>3109</v>
      </c>
      <c r="AG2376" t="s">
        <v>3110</v>
      </c>
      <c r="AH2376" t="s">
        <v>3111</v>
      </c>
      <c r="AI2376" t="s">
        <v>3112</v>
      </c>
      <c r="AJ2376" t="s">
        <v>3113</v>
      </c>
      <c r="AK2376" t="s">
        <v>3114</v>
      </c>
      <c r="AL2376" t="s">
        <v>3115</v>
      </c>
      <c r="AM2376" t="s">
        <v>3116</v>
      </c>
      <c r="AN2376" t="s">
        <v>3117</v>
      </c>
      <c r="AO2376" t="s">
        <v>3118</v>
      </c>
      <c r="AP2376" t="s">
        <v>3119</v>
      </c>
      <c r="AQ2376" t="s">
        <v>3120</v>
      </c>
      <c r="AR2376" t="s">
        <v>3121</v>
      </c>
      <c r="AS2376" t="s">
        <v>3122</v>
      </c>
      <c r="AT2376" t="s">
        <v>3123</v>
      </c>
      <c r="AU2376" t="s">
        <v>3124</v>
      </c>
      <c r="AV2376" t="s">
        <v>3125</v>
      </c>
      <c r="AW2376" t="s">
        <v>3126</v>
      </c>
      <c r="AX2376" t="s">
        <v>3127</v>
      </c>
      <c r="AY2376" t="s">
        <v>3128</v>
      </c>
      <c r="AZ2376" t="s">
        <v>3129</v>
      </c>
      <c r="BA2376" t="s">
        <v>3130</v>
      </c>
      <c r="BB2376" t="s">
        <v>3131</v>
      </c>
      <c r="BC2376" t="s">
        <v>3132</v>
      </c>
      <c r="BD2376" t="s">
        <v>3133</v>
      </c>
      <c r="BE2376" t="s">
        <v>3134</v>
      </c>
      <c r="BF2376" t="s">
        <v>3135</v>
      </c>
      <c r="BG2376" t="s">
        <v>3136</v>
      </c>
      <c r="BH2376" t="s">
        <v>3137</v>
      </c>
      <c r="BI2376" t="s">
        <v>3138</v>
      </c>
      <c r="BJ2376" t="s">
        <v>3139</v>
      </c>
      <c r="BK2376" t="s">
        <v>3140</v>
      </c>
      <c r="BL2376" t="s">
        <v>3141</v>
      </c>
      <c r="BM2376" t="s">
        <v>3142</v>
      </c>
    </row>
    <row r="2377" spans="1:65">
      <c r="A2377" t="s">
        <v>3143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v>0</v>
      </c>
      <c r="BH2377">
        <v>0</v>
      </c>
      <c r="BI2377">
        <v>0</v>
      </c>
      <c r="BJ2377">
        <v>0</v>
      </c>
      <c r="BK2377">
        <v>0</v>
      </c>
      <c r="BL2377">
        <v>0</v>
      </c>
      <c r="BM2377">
        <v>0</v>
      </c>
    </row>
    <row r="2378" spans="1:65">
      <c r="A2378" t="s">
        <v>3144</v>
      </c>
      <c r="B2378" t="str">
        <f t="shared" ref="B2378:AG2378" si="333">"NONE"</f>
        <v>NONE</v>
      </c>
      <c r="C2378" t="str">
        <f t="shared" si="333"/>
        <v>NONE</v>
      </c>
      <c r="D2378" t="str">
        <f t="shared" si="333"/>
        <v>NONE</v>
      </c>
      <c r="E2378" t="str">
        <f t="shared" si="333"/>
        <v>NONE</v>
      </c>
      <c r="F2378" t="str">
        <f t="shared" si="333"/>
        <v>NONE</v>
      </c>
      <c r="G2378" t="str">
        <f t="shared" si="333"/>
        <v>NONE</v>
      </c>
      <c r="H2378" t="str">
        <f t="shared" si="333"/>
        <v>NONE</v>
      </c>
      <c r="I2378" t="str">
        <f t="shared" si="333"/>
        <v>NONE</v>
      </c>
      <c r="J2378" t="str">
        <f t="shared" si="333"/>
        <v>NONE</v>
      </c>
      <c r="K2378" t="str">
        <f t="shared" si="333"/>
        <v>NONE</v>
      </c>
      <c r="L2378" t="str">
        <f t="shared" si="333"/>
        <v>NONE</v>
      </c>
      <c r="M2378" t="str">
        <f t="shared" si="333"/>
        <v>NONE</v>
      </c>
      <c r="N2378" t="str">
        <f t="shared" si="333"/>
        <v>NONE</v>
      </c>
      <c r="O2378" t="str">
        <f t="shared" si="333"/>
        <v>NONE</v>
      </c>
      <c r="P2378" t="str">
        <f t="shared" si="333"/>
        <v>NONE</v>
      </c>
      <c r="Q2378" t="str">
        <f t="shared" si="333"/>
        <v>NONE</v>
      </c>
      <c r="R2378" t="str">
        <f t="shared" si="333"/>
        <v>NONE</v>
      </c>
      <c r="S2378" t="str">
        <f t="shared" si="333"/>
        <v>NONE</v>
      </c>
      <c r="T2378" t="str">
        <f t="shared" si="333"/>
        <v>NONE</v>
      </c>
      <c r="U2378" t="str">
        <f t="shared" si="333"/>
        <v>NONE</v>
      </c>
      <c r="V2378" t="str">
        <f t="shared" si="333"/>
        <v>NONE</v>
      </c>
      <c r="W2378" t="str">
        <f t="shared" si="333"/>
        <v>NONE</v>
      </c>
      <c r="X2378" t="str">
        <f t="shared" si="333"/>
        <v>NONE</v>
      </c>
      <c r="Y2378" t="str">
        <f t="shared" si="333"/>
        <v>NONE</v>
      </c>
      <c r="Z2378" t="str">
        <f t="shared" si="333"/>
        <v>NONE</v>
      </c>
      <c r="AA2378" t="str">
        <f t="shared" si="333"/>
        <v>NONE</v>
      </c>
      <c r="AB2378" t="str">
        <f t="shared" si="333"/>
        <v>NONE</v>
      </c>
      <c r="AC2378" t="str">
        <f t="shared" si="333"/>
        <v>NONE</v>
      </c>
      <c r="AD2378" t="str">
        <f t="shared" si="333"/>
        <v>NONE</v>
      </c>
      <c r="AE2378" t="str">
        <f t="shared" si="333"/>
        <v>NONE</v>
      </c>
      <c r="AF2378" t="str">
        <f t="shared" si="333"/>
        <v>NONE</v>
      </c>
      <c r="AG2378" t="str">
        <f t="shared" si="333"/>
        <v>NONE</v>
      </c>
      <c r="AH2378" t="str">
        <f t="shared" ref="AH2378:BM2378" si="334">"NONE"</f>
        <v>NONE</v>
      </c>
      <c r="AI2378" t="str">
        <f t="shared" si="334"/>
        <v>NONE</v>
      </c>
      <c r="AJ2378" t="str">
        <f t="shared" si="334"/>
        <v>NONE</v>
      </c>
      <c r="AK2378" t="str">
        <f t="shared" si="334"/>
        <v>NONE</v>
      </c>
      <c r="AL2378" t="str">
        <f t="shared" si="334"/>
        <v>NONE</v>
      </c>
      <c r="AM2378" t="str">
        <f t="shared" si="334"/>
        <v>NONE</v>
      </c>
      <c r="AN2378" t="str">
        <f t="shared" si="334"/>
        <v>NONE</v>
      </c>
      <c r="AO2378" t="str">
        <f t="shared" si="334"/>
        <v>NONE</v>
      </c>
      <c r="AP2378" t="str">
        <f t="shared" si="334"/>
        <v>NONE</v>
      </c>
      <c r="AQ2378" t="str">
        <f t="shared" si="334"/>
        <v>NONE</v>
      </c>
      <c r="AR2378" t="str">
        <f t="shared" si="334"/>
        <v>NONE</v>
      </c>
      <c r="AS2378" t="str">
        <f t="shared" si="334"/>
        <v>NONE</v>
      </c>
      <c r="AT2378" t="str">
        <f t="shared" si="334"/>
        <v>NONE</v>
      </c>
      <c r="AU2378" t="str">
        <f t="shared" si="334"/>
        <v>NONE</v>
      </c>
      <c r="AV2378" t="str">
        <f t="shared" si="334"/>
        <v>NONE</v>
      </c>
      <c r="AW2378" t="str">
        <f t="shared" si="334"/>
        <v>NONE</v>
      </c>
      <c r="AX2378" t="str">
        <f t="shared" si="334"/>
        <v>NONE</v>
      </c>
      <c r="AY2378" t="str">
        <f t="shared" si="334"/>
        <v>NONE</v>
      </c>
      <c r="AZ2378" t="str">
        <f t="shared" si="334"/>
        <v>NONE</v>
      </c>
      <c r="BA2378" t="str">
        <f t="shared" si="334"/>
        <v>NONE</v>
      </c>
      <c r="BB2378" t="str">
        <f t="shared" si="334"/>
        <v>NONE</v>
      </c>
      <c r="BC2378" t="str">
        <f t="shared" si="334"/>
        <v>NONE</v>
      </c>
      <c r="BD2378" t="str">
        <f t="shared" si="334"/>
        <v>NONE</v>
      </c>
      <c r="BE2378" t="str">
        <f t="shared" si="334"/>
        <v>NONE</v>
      </c>
      <c r="BF2378" t="str">
        <f t="shared" si="334"/>
        <v>NONE</v>
      </c>
      <c r="BG2378" t="str">
        <f t="shared" si="334"/>
        <v>NONE</v>
      </c>
      <c r="BH2378" t="str">
        <f t="shared" si="334"/>
        <v>NONE</v>
      </c>
      <c r="BI2378" t="str">
        <f t="shared" si="334"/>
        <v>NONE</v>
      </c>
      <c r="BJ2378" t="str">
        <f t="shared" si="334"/>
        <v>NONE</v>
      </c>
      <c r="BK2378" t="str">
        <f t="shared" si="334"/>
        <v>NONE</v>
      </c>
      <c r="BL2378" t="str">
        <f t="shared" si="334"/>
        <v>NONE</v>
      </c>
      <c r="BM2378" t="str">
        <f t="shared" si="334"/>
        <v>NONE</v>
      </c>
    </row>
    <row r="2380" spans="1:65">
      <c r="B2380" t="s">
        <v>3145</v>
      </c>
      <c r="C2380">
        <v>4</v>
      </c>
      <c r="D2380">
        <v>16</v>
      </c>
      <c r="E2380">
        <v>1</v>
      </c>
    </row>
    <row r="2381" spans="1:65">
      <c r="B2381" t="s">
        <v>3146</v>
      </c>
      <c r="C2381" t="s">
        <v>3147</v>
      </c>
      <c r="D2381" t="s">
        <v>3148</v>
      </c>
      <c r="E2381" t="s">
        <v>3149</v>
      </c>
      <c r="F2381" t="s">
        <v>3150</v>
      </c>
      <c r="G2381" t="s">
        <v>3151</v>
      </c>
      <c r="H2381" t="s">
        <v>3152</v>
      </c>
      <c r="I2381" t="s">
        <v>3153</v>
      </c>
      <c r="J2381" t="s">
        <v>3154</v>
      </c>
      <c r="K2381" t="s">
        <v>3155</v>
      </c>
      <c r="L2381" t="s">
        <v>3156</v>
      </c>
      <c r="M2381" t="s">
        <v>3157</v>
      </c>
      <c r="N2381" t="s">
        <v>3158</v>
      </c>
      <c r="O2381" t="s">
        <v>3159</v>
      </c>
      <c r="P2381" t="s">
        <v>3160</v>
      </c>
      <c r="Q2381" t="s">
        <v>3161</v>
      </c>
    </row>
    <row r="2382" spans="1:65">
      <c r="A2382" t="s">
        <v>3162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</row>
    <row r="2383" spans="1:65">
      <c r="A2383" t="s">
        <v>3163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</row>
    <row r="2384" spans="1:65">
      <c r="A2384" t="s">
        <v>3164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</row>
    <row r="2385" spans="1:17">
      <c r="A2385" t="s">
        <v>3165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</row>
    <row r="2387" spans="1:17">
      <c r="B2387" t="s">
        <v>3166</v>
      </c>
      <c r="C2387">
        <v>3</v>
      </c>
      <c r="D2387">
        <v>16</v>
      </c>
      <c r="E2387">
        <v>1</v>
      </c>
    </row>
    <row r="2388" spans="1:17">
      <c r="B2388" t="s">
        <v>3167</v>
      </c>
      <c r="C2388" t="s">
        <v>3168</v>
      </c>
      <c r="D2388" t="s">
        <v>3169</v>
      </c>
      <c r="E2388" t="s">
        <v>3170</v>
      </c>
      <c r="F2388" t="s">
        <v>3171</v>
      </c>
      <c r="G2388" t="s">
        <v>3172</v>
      </c>
      <c r="H2388" t="s">
        <v>3173</v>
      </c>
      <c r="I2388" t="s">
        <v>3174</v>
      </c>
      <c r="J2388" t="s">
        <v>3175</v>
      </c>
      <c r="K2388" t="s">
        <v>3176</v>
      </c>
      <c r="L2388" t="s">
        <v>3177</v>
      </c>
      <c r="M2388" t="s">
        <v>3178</v>
      </c>
      <c r="N2388" t="s">
        <v>3179</v>
      </c>
      <c r="O2388" t="s">
        <v>3180</v>
      </c>
      <c r="P2388" t="s">
        <v>3181</v>
      </c>
      <c r="Q2388" t="s">
        <v>3182</v>
      </c>
    </row>
    <row r="2389" spans="1:17">
      <c r="A2389" t="s">
        <v>3183</v>
      </c>
      <c r="B2389" t="str">
        <f t="shared" ref="B2389:Q2389" si="335">"OFF"</f>
        <v>OFF</v>
      </c>
      <c r="C2389" t="str">
        <f t="shared" si="335"/>
        <v>OFF</v>
      </c>
      <c r="D2389" t="str">
        <f t="shared" si="335"/>
        <v>OFF</v>
      </c>
      <c r="E2389" t="str">
        <f t="shared" si="335"/>
        <v>OFF</v>
      </c>
      <c r="F2389" t="str">
        <f t="shared" si="335"/>
        <v>OFF</v>
      </c>
      <c r="G2389" t="str">
        <f t="shared" si="335"/>
        <v>OFF</v>
      </c>
      <c r="H2389" t="str">
        <f t="shared" si="335"/>
        <v>OFF</v>
      </c>
      <c r="I2389" t="str">
        <f t="shared" si="335"/>
        <v>OFF</v>
      </c>
      <c r="J2389" t="str">
        <f t="shared" si="335"/>
        <v>OFF</v>
      </c>
      <c r="K2389" t="str">
        <f t="shared" si="335"/>
        <v>OFF</v>
      </c>
      <c r="L2389" t="str">
        <f t="shared" si="335"/>
        <v>OFF</v>
      </c>
      <c r="M2389" t="str">
        <f t="shared" si="335"/>
        <v>OFF</v>
      </c>
      <c r="N2389" t="str">
        <f t="shared" si="335"/>
        <v>OFF</v>
      </c>
      <c r="O2389" t="str">
        <f t="shared" si="335"/>
        <v>OFF</v>
      </c>
      <c r="P2389" t="str">
        <f t="shared" si="335"/>
        <v>OFF</v>
      </c>
      <c r="Q2389" t="str">
        <f t="shared" si="335"/>
        <v>OFF</v>
      </c>
    </row>
    <row r="2390" spans="1:17">
      <c r="A2390" t="s">
        <v>53</v>
      </c>
      <c r="B2390" t="str">
        <f t="shared" ref="B2390:Q2390" si="336">"NON"</f>
        <v>NON</v>
      </c>
      <c r="C2390" t="str">
        <f t="shared" si="336"/>
        <v>NON</v>
      </c>
      <c r="D2390" t="str">
        <f t="shared" si="336"/>
        <v>NON</v>
      </c>
      <c r="E2390" t="str">
        <f t="shared" si="336"/>
        <v>NON</v>
      </c>
      <c r="F2390" t="str">
        <f t="shared" si="336"/>
        <v>NON</v>
      </c>
      <c r="G2390" t="str">
        <f t="shared" si="336"/>
        <v>NON</v>
      </c>
      <c r="H2390" t="str">
        <f t="shared" si="336"/>
        <v>NON</v>
      </c>
      <c r="I2390" t="str">
        <f t="shared" si="336"/>
        <v>NON</v>
      </c>
      <c r="J2390" t="str">
        <f t="shared" si="336"/>
        <v>NON</v>
      </c>
      <c r="K2390" t="str">
        <f t="shared" si="336"/>
        <v>NON</v>
      </c>
      <c r="L2390" t="str">
        <f t="shared" si="336"/>
        <v>NON</v>
      </c>
      <c r="M2390" t="str">
        <f t="shared" si="336"/>
        <v>NON</v>
      </c>
      <c r="N2390" t="str">
        <f t="shared" si="336"/>
        <v>NON</v>
      </c>
      <c r="O2390" t="str">
        <f t="shared" si="336"/>
        <v>NON</v>
      </c>
      <c r="P2390" t="str">
        <f t="shared" si="336"/>
        <v>NON</v>
      </c>
      <c r="Q2390" t="str">
        <f t="shared" si="336"/>
        <v>NON</v>
      </c>
    </row>
    <row r="2391" spans="1:17">
      <c r="A2391" t="s">
        <v>127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</row>
    <row r="2393" spans="1:17">
      <c r="B2393" t="s">
        <v>3184</v>
      </c>
      <c r="C2393">
        <v>3</v>
      </c>
      <c r="D2393">
        <v>16</v>
      </c>
      <c r="E2393">
        <v>1</v>
      </c>
    </row>
    <row r="2394" spans="1:17">
      <c r="B2394" t="s">
        <v>3167</v>
      </c>
      <c r="C2394" t="s">
        <v>3168</v>
      </c>
      <c r="D2394" t="s">
        <v>3169</v>
      </c>
      <c r="E2394" t="s">
        <v>3170</v>
      </c>
      <c r="F2394" t="s">
        <v>3171</v>
      </c>
      <c r="G2394" t="s">
        <v>3172</v>
      </c>
      <c r="H2394" t="s">
        <v>3173</v>
      </c>
      <c r="I2394" t="s">
        <v>3174</v>
      </c>
      <c r="J2394" t="s">
        <v>3175</v>
      </c>
      <c r="K2394" t="s">
        <v>3176</v>
      </c>
      <c r="L2394" t="s">
        <v>3177</v>
      </c>
      <c r="M2394" t="s">
        <v>3178</v>
      </c>
      <c r="N2394" t="s">
        <v>3179</v>
      </c>
      <c r="O2394" t="s">
        <v>3180</v>
      </c>
      <c r="P2394" t="s">
        <v>3181</v>
      </c>
      <c r="Q2394" t="s">
        <v>3182</v>
      </c>
    </row>
    <row r="2395" spans="1:17">
      <c r="A2395" t="s">
        <v>3183</v>
      </c>
      <c r="B2395" t="str">
        <f t="shared" ref="B2395:Q2395" si="337">"OFF"</f>
        <v>OFF</v>
      </c>
      <c r="C2395" t="str">
        <f t="shared" si="337"/>
        <v>OFF</v>
      </c>
      <c r="D2395" t="str">
        <f t="shared" si="337"/>
        <v>OFF</v>
      </c>
      <c r="E2395" t="str">
        <f t="shared" si="337"/>
        <v>OFF</v>
      </c>
      <c r="F2395" t="str">
        <f t="shared" si="337"/>
        <v>OFF</v>
      </c>
      <c r="G2395" t="str">
        <f t="shared" si="337"/>
        <v>OFF</v>
      </c>
      <c r="H2395" t="str">
        <f t="shared" si="337"/>
        <v>OFF</v>
      </c>
      <c r="I2395" t="str">
        <f t="shared" si="337"/>
        <v>OFF</v>
      </c>
      <c r="J2395" t="str">
        <f t="shared" si="337"/>
        <v>OFF</v>
      </c>
      <c r="K2395" t="str">
        <f t="shared" si="337"/>
        <v>OFF</v>
      </c>
      <c r="L2395" t="str">
        <f t="shared" si="337"/>
        <v>OFF</v>
      </c>
      <c r="M2395" t="str">
        <f t="shared" si="337"/>
        <v>OFF</v>
      </c>
      <c r="N2395" t="str">
        <f t="shared" si="337"/>
        <v>OFF</v>
      </c>
      <c r="O2395" t="str">
        <f t="shared" si="337"/>
        <v>OFF</v>
      </c>
      <c r="P2395" t="str">
        <f t="shared" si="337"/>
        <v>OFF</v>
      </c>
      <c r="Q2395" t="str">
        <f t="shared" si="337"/>
        <v>OFF</v>
      </c>
    </row>
    <row r="2396" spans="1:17">
      <c r="A2396" t="s">
        <v>53</v>
      </c>
      <c r="B2396" t="str">
        <f t="shared" ref="B2396:Q2396" si="338">"NON"</f>
        <v>NON</v>
      </c>
      <c r="C2396" t="str">
        <f t="shared" si="338"/>
        <v>NON</v>
      </c>
      <c r="D2396" t="str">
        <f t="shared" si="338"/>
        <v>NON</v>
      </c>
      <c r="E2396" t="str">
        <f t="shared" si="338"/>
        <v>NON</v>
      </c>
      <c r="F2396" t="str">
        <f t="shared" si="338"/>
        <v>NON</v>
      </c>
      <c r="G2396" t="str">
        <f t="shared" si="338"/>
        <v>NON</v>
      </c>
      <c r="H2396" t="str">
        <f t="shared" si="338"/>
        <v>NON</v>
      </c>
      <c r="I2396" t="str">
        <f t="shared" si="338"/>
        <v>NON</v>
      </c>
      <c r="J2396" t="str">
        <f t="shared" si="338"/>
        <v>NON</v>
      </c>
      <c r="K2396" t="str">
        <f t="shared" si="338"/>
        <v>NON</v>
      </c>
      <c r="L2396" t="str">
        <f t="shared" si="338"/>
        <v>NON</v>
      </c>
      <c r="M2396" t="str">
        <f t="shared" si="338"/>
        <v>NON</v>
      </c>
      <c r="N2396" t="str">
        <f t="shared" si="338"/>
        <v>NON</v>
      </c>
      <c r="O2396" t="str">
        <f t="shared" si="338"/>
        <v>NON</v>
      </c>
      <c r="P2396" t="str">
        <f t="shared" si="338"/>
        <v>NON</v>
      </c>
      <c r="Q2396" t="str">
        <f t="shared" si="338"/>
        <v>NON</v>
      </c>
    </row>
    <row r="2397" spans="1:17">
      <c r="A2397" t="s">
        <v>127</v>
      </c>
      <c r="B2397">
        <v>0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</row>
    <row r="2399" spans="1:17">
      <c r="B2399" t="s">
        <v>3185</v>
      </c>
      <c r="C2399">
        <v>3</v>
      </c>
      <c r="D2399">
        <v>16</v>
      </c>
      <c r="E2399">
        <v>1</v>
      </c>
    </row>
    <row r="2400" spans="1:17">
      <c r="B2400" t="s">
        <v>3167</v>
      </c>
      <c r="C2400" t="s">
        <v>3168</v>
      </c>
      <c r="D2400" t="s">
        <v>3169</v>
      </c>
      <c r="E2400" t="s">
        <v>3170</v>
      </c>
      <c r="F2400" t="s">
        <v>3171</v>
      </c>
      <c r="G2400" t="s">
        <v>3172</v>
      </c>
      <c r="H2400" t="s">
        <v>3173</v>
      </c>
      <c r="I2400" t="s">
        <v>3174</v>
      </c>
      <c r="J2400" t="s">
        <v>3175</v>
      </c>
      <c r="K2400" t="s">
        <v>3176</v>
      </c>
      <c r="L2400" t="s">
        <v>3177</v>
      </c>
      <c r="M2400" t="s">
        <v>3178</v>
      </c>
      <c r="N2400" t="s">
        <v>3179</v>
      </c>
      <c r="O2400" t="s">
        <v>3180</v>
      </c>
      <c r="P2400" t="s">
        <v>3181</v>
      </c>
      <c r="Q2400" t="s">
        <v>3182</v>
      </c>
    </row>
    <row r="2401" spans="1:17">
      <c r="A2401" t="s">
        <v>3183</v>
      </c>
      <c r="B2401" t="str">
        <f t="shared" ref="B2401:Q2401" si="339">"OFF"</f>
        <v>OFF</v>
      </c>
      <c r="C2401" t="str">
        <f t="shared" si="339"/>
        <v>OFF</v>
      </c>
      <c r="D2401" t="str">
        <f t="shared" si="339"/>
        <v>OFF</v>
      </c>
      <c r="E2401" t="str">
        <f t="shared" si="339"/>
        <v>OFF</v>
      </c>
      <c r="F2401" t="str">
        <f t="shared" si="339"/>
        <v>OFF</v>
      </c>
      <c r="G2401" t="str">
        <f t="shared" si="339"/>
        <v>OFF</v>
      </c>
      <c r="H2401" t="str">
        <f t="shared" si="339"/>
        <v>OFF</v>
      </c>
      <c r="I2401" t="str">
        <f t="shared" si="339"/>
        <v>OFF</v>
      </c>
      <c r="J2401" t="str">
        <f t="shared" si="339"/>
        <v>OFF</v>
      </c>
      <c r="K2401" t="str">
        <f t="shared" si="339"/>
        <v>OFF</v>
      </c>
      <c r="L2401" t="str">
        <f t="shared" si="339"/>
        <v>OFF</v>
      </c>
      <c r="M2401" t="str">
        <f t="shared" si="339"/>
        <v>OFF</v>
      </c>
      <c r="N2401" t="str">
        <f t="shared" si="339"/>
        <v>OFF</v>
      </c>
      <c r="O2401" t="str">
        <f t="shared" si="339"/>
        <v>OFF</v>
      </c>
      <c r="P2401" t="str">
        <f t="shared" si="339"/>
        <v>OFF</v>
      </c>
      <c r="Q2401" t="str">
        <f t="shared" si="339"/>
        <v>OFF</v>
      </c>
    </row>
    <row r="2402" spans="1:17">
      <c r="A2402" t="s">
        <v>53</v>
      </c>
      <c r="B2402" t="str">
        <f t="shared" ref="B2402:Q2402" si="340">"NON"</f>
        <v>NON</v>
      </c>
      <c r="C2402" t="str">
        <f t="shared" si="340"/>
        <v>NON</v>
      </c>
      <c r="D2402" t="str">
        <f t="shared" si="340"/>
        <v>NON</v>
      </c>
      <c r="E2402" t="str">
        <f t="shared" si="340"/>
        <v>NON</v>
      </c>
      <c r="F2402" t="str">
        <f t="shared" si="340"/>
        <v>NON</v>
      </c>
      <c r="G2402" t="str">
        <f t="shared" si="340"/>
        <v>NON</v>
      </c>
      <c r="H2402" t="str">
        <f t="shared" si="340"/>
        <v>NON</v>
      </c>
      <c r="I2402" t="str">
        <f t="shared" si="340"/>
        <v>NON</v>
      </c>
      <c r="J2402" t="str">
        <f t="shared" si="340"/>
        <v>NON</v>
      </c>
      <c r="K2402" t="str">
        <f t="shared" si="340"/>
        <v>NON</v>
      </c>
      <c r="L2402" t="str">
        <f t="shared" si="340"/>
        <v>NON</v>
      </c>
      <c r="M2402" t="str">
        <f t="shared" si="340"/>
        <v>NON</v>
      </c>
      <c r="N2402" t="str">
        <f t="shared" si="340"/>
        <v>NON</v>
      </c>
      <c r="O2402" t="str">
        <f t="shared" si="340"/>
        <v>NON</v>
      </c>
      <c r="P2402" t="str">
        <f t="shared" si="340"/>
        <v>NON</v>
      </c>
      <c r="Q2402" t="str">
        <f t="shared" si="340"/>
        <v>NON</v>
      </c>
    </row>
    <row r="2403" spans="1:17">
      <c r="A2403" t="s">
        <v>127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</row>
    <row r="2405" spans="1:17">
      <c r="B2405" t="s">
        <v>3186</v>
      </c>
      <c r="C2405">
        <v>3</v>
      </c>
      <c r="D2405">
        <v>16</v>
      </c>
      <c r="E2405">
        <v>1</v>
      </c>
    </row>
    <row r="2406" spans="1:17">
      <c r="B2406" t="s">
        <v>3167</v>
      </c>
      <c r="C2406" t="s">
        <v>3168</v>
      </c>
      <c r="D2406" t="s">
        <v>3169</v>
      </c>
      <c r="E2406" t="s">
        <v>3170</v>
      </c>
      <c r="F2406" t="s">
        <v>3171</v>
      </c>
      <c r="G2406" t="s">
        <v>3172</v>
      </c>
      <c r="H2406" t="s">
        <v>3173</v>
      </c>
      <c r="I2406" t="s">
        <v>3174</v>
      </c>
      <c r="J2406" t="s">
        <v>3175</v>
      </c>
      <c r="K2406" t="s">
        <v>3176</v>
      </c>
      <c r="L2406" t="s">
        <v>3177</v>
      </c>
      <c r="M2406" t="s">
        <v>3178</v>
      </c>
      <c r="N2406" t="s">
        <v>3179</v>
      </c>
      <c r="O2406" t="s">
        <v>3180</v>
      </c>
      <c r="P2406" t="s">
        <v>3181</v>
      </c>
      <c r="Q2406" t="s">
        <v>3182</v>
      </c>
    </row>
    <row r="2407" spans="1:17">
      <c r="A2407" t="s">
        <v>3183</v>
      </c>
      <c r="B2407" t="str">
        <f t="shared" ref="B2407:Q2407" si="341">"OFF"</f>
        <v>OFF</v>
      </c>
      <c r="C2407" t="str">
        <f t="shared" si="341"/>
        <v>OFF</v>
      </c>
      <c r="D2407" t="str">
        <f t="shared" si="341"/>
        <v>OFF</v>
      </c>
      <c r="E2407" t="str">
        <f t="shared" si="341"/>
        <v>OFF</v>
      </c>
      <c r="F2407" t="str">
        <f t="shared" si="341"/>
        <v>OFF</v>
      </c>
      <c r="G2407" t="str">
        <f t="shared" si="341"/>
        <v>OFF</v>
      </c>
      <c r="H2407" t="str">
        <f t="shared" si="341"/>
        <v>OFF</v>
      </c>
      <c r="I2407" t="str">
        <f t="shared" si="341"/>
        <v>OFF</v>
      </c>
      <c r="J2407" t="str">
        <f t="shared" si="341"/>
        <v>OFF</v>
      </c>
      <c r="K2407" t="str">
        <f t="shared" si="341"/>
        <v>OFF</v>
      </c>
      <c r="L2407" t="str">
        <f t="shared" si="341"/>
        <v>OFF</v>
      </c>
      <c r="M2407" t="str">
        <f t="shared" si="341"/>
        <v>OFF</v>
      </c>
      <c r="N2407" t="str">
        <f t="shared" si="341"/>
        <v>OFF</v>
      </c>
      <c r="O2407" t="str">
        <f t="shared" si="341"/>
        <v>OFF</v>
      </c>
      <c r="P2407" t="str">
        <f t="shared" si="341"/>
        <v>OFF</v>
      </c>
      <c r="Q2407" t="str">
        <f t="shared" si="341"/>
        <v>OFF</v>
      </c>
    </row>
    <row r="2408" spans="1:17">
      <c r="A2408" t="s">
        <v>53</v>
      </c>
      <c r="B2408" t="str">
        <f t="shared" ref="B2408:Q2408" si="342">"NON"</f>
        <v>NON</v>
      </c>
      <c r="C2408" t="str">
        <f t="shared" si="342"/>
        <v>NON</v>
      </c>
      <c r="D2408" t="str">
        <f t="shared" si="342"/>
        <v>NON</v>
      </c>
      <c r="E2408" t="str">
        <f t="shared" si="342"/>
        <v>NON</v>
      </c>
      <c r="F2408" t="str">
        <f t="shared" si="342"/>
        <v>NON</v>
      </c>
      <c r="G2408" t="str">
        <f t="shared" si="342"/>
        <v>NON</v>
      </c>
      <c r="H2408" t="str">
        <f t="shared" si="342"/>
        <v>NON</v>
      </c>
      <c r="I2408" t="str">
        <f t="shared" si="342"/>
        <v>NON</v>
      </c>
      <c r="J2408" t="str">
        <f t="shared" si="342"/>
        <v>NON</v>
      </c>
      <c r="K2408" t="str">
        <f t="shared" si="342"/>
        <v>NON</v>
      </c>
      <c r="L2408" t="str">
        <f t="shared" si="342"/>
        <v>NON</v>
      </c>
      <c r="M2408" t="str">
        <f t="shared" si="342"/>
        <v>NON</v>
      </c>
      <c r="N2408" t="str">
        <f t="shared" si="342"/>
        <v>NON</v>
      </c>
      <c r="O2408" t="str">
        <f t="shared" si="342"/>
        <v>NON</v>
      </c>
      <c r="P2408" t="str">
        <f t="shared" si="342"/>
        <v>NON</v>
      </c>
      <c r="Q2408" t="str">
        <f t="shared" si="342"/>
        <v>NON</v>
      </c>
    </row>
    <row r="2409" spans="1:17">
      <c r="A2409" t="s">
        <v>127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</row>
    <row r="2411" spans="1:17">
      <c r="B2411" t="s">
        <v>3187</v>
      </c>
      <c r="C2411">
        <v>3</v>
      </c>
      <c r="D2411">
        <v>16</v>
      </c>
      <c r="E2411">
        <v>1</v>
      </c>
    </row>
    <row r="2412" spans="1:17">
      <c r="B2412" t="s">
        <v>3167</v>
      </c>
      <c r="C2412" t="s">
        <v>3168</v>
      </c>
      <c r="D2412" t="s">
        <v>3169</v>
      </c>
      <c r="E2412" t="s">
        <v>3170</v>
      </c>
      <c r="F2412" t="s">
        <v>3171</v>
      </c>
      <c r="G2412" t="s">
        <v>3172</v>
      </c>
      <c r="H2412" t="s">
        <v>3173</v>
      </c>
      <c r="I2412" t="s">
        <v>3174</v>
      </c>
      <c r="J2412" t="s">
        <v>3175</v>
      </c>
      <c r="K2412" t="s">
        <v>3176</v>
      </c>
      <c r="L2412" t="s">
        <v>3177</v>
      </c>
      <c r="M2412" t="s">
        <v>3178</v>
      </c>
      <c r="N2412" t="s">
        <v>3179</v>
      </c>
      <c r="O2412" t="s">
        <v>3180</v>
      </c>
      <c r="P2412" t="s">
        <v>3181</v>
      </c>
      <c r="Q2412" t="s">
        <v>3182</v>
      </c>
    </row>
    <row r="2413" spans="1:17">
      <c r="A2413" t="s">
        <v>3183</v>
      </c>
      <c r="B2413" t="str">
        <f t="shared" ref="B2413:Q2413" si="343">"OFF"</f>
        <v>OFF</v>
      </c>
      <c r="C2413" t="str">
        <f t="shared" si="343"/>
        <v>OFF</v>
      </c>
      <c r="D2413" t="str">
        <f t="shared" si="343"/>
        <v>OFF</v>
      </c>
      <c r="E2413" t="str">
        <f t="shared" si="343"/>
        <v>OFF</v>
      </c>
      <c r="F2413" t="str">
        <f t="shared" si="343"/>
        <v>OFF</v>
      </c>
      <c r="G2413" t="str">
        <f t="shared" si="343"/>
        <v>OFF</v>
      </c>
      <c r="H2413" t="str">
        <f t="shared" si="343"/>
        <v>OFF</v>
      </c>
      <c r="I2413" t="str">
        <f t="shared" si="343"/>
        <v>OFF</v>
      </c>
      <c r="J2413" t="str">
        <f t="shared" si="343"/>
        <v>OFF</v>
      </c>
      <c r="K2413" t="str">
        <f t="shared" si="343"/>
        <v>OFF</v>
      </c>
      <c r="L2413" t="str">
        <f t="shared" si="343"/>
        <v>OFF</v>
      </c>
      <c r="M2413" t="str">
        <f t="shared" si="343"/>
        <v>OFF</v>
      </c>
      <c r="N2413" t="str">
        <f t="shared" si="343"/>
        <v>OFF</v>
      </c>
      <c r="O2413" t="str">
        <f t="shared" si="343"/>
        <v>OFF</v>
      </c>
      <c r="P2413" t="str">
        <f t="shared" si="343"/>
        <v>OFF</v>
      </c>
      <c r="Q2413" t="str">
        <f t="shared" si="343"/>
        <v>OFF</v>
      </c>
    </row>
    <row r="2414" spans="1:17">
      <c r="A2414" t="s">
        <v>53</v>
      </c>
      <c r="B2414" t="str">
        <f t="shared" ref="B2414:Q2414" si="344">"NON"</f>
        <v>NON</v>
      </c>
      <c r="C2414" t="str">
        <f t="shared" si="344"/>
        <v>NON</v>
      </c>
      <c r="D2414" t="str">
        <f t="shared" si="344"/>
        <v>NON</v>
      </c>
      <c r="E2414" t="str">
        <f t="shared" si="344"/>
        <v>NON</v>
      </c>
      <c r="F2414" t="str">
        <f t="shared" si="344"/>
        <v>NON</v>
      </c>
      <c r="G2414" t="str">
        <f t="shared" si="344"/>
        <v>NON</v>
      </c>
      <c r="H2414" t="str">
        <f t="shared" si="344"/>
        <v>NON</v>
      </c>
      <c r="I2414" t="str">
        <f t="shared" si="344"/>
        <v>NON</v>
      </c>
      <c r="J2414" t="str">
        <f t="shared" si="344"/>
        <v>NON</v>
      </c>
      <c r="K2414" t="str">
        <f t="shared" si="344"/>
        <v>NON</v>
      </c>
      <c r="L2414" t="str">
        <f t="shared" si="344"/>
        <v>NON</v>
      </c>
      <c r="M2414" t="str">
        <f t="shared" si="344"/>
        <v>NON</v>
      </c>
      <c r="N2414" t="str">
        <f t="shared" si="344"/>
        <v>NON</v>
      </c>
      <c r="O2414" t="str">
        <f t="shared" si="344"/>
        <v>NON</v>
      </c>
      <c r="P2414" t="str">
        <f t="shared" si="344"/>
        <v>NON</v>
      </c>
      <c r="Q2414" t="str">
        <f t="shared" si="344"/>
        <v>NON</v>
      </c>
    </row>
    <row r="2415" spans="1:17">
      <c r="A2415" t="s">
        <v>127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</row>
    <row r="2417" spans="1:17">
      <c r="B2417" t="s">
        <v>3188</v>
      </c>
      <c r="C2417">
        <v>3</v>
      </c>
      <c r="D2417">
        <v>16</v>
      </c>
      <c r="E2417">
        <v>1</v>
      </c>
    </row>
    <row r="2418" spans="1:17">
      <c r="B2418" t="s">
        <v>3167</v>
      </c>
      <c r="C2418" t="s">
        <v>3168</v>
      </c>
      <c r="D2418" t="s">
        <v>3169</v>
      </c>
      <c r="E2418" t="s">
        <v>3170</v>
      </c>
      <c r="F2418" t="s">
        <v>3171</v>
      </c>
      <c r="G2418" t="s">
        <v>3172</v>
      </c>
      <c r="H2418" t="s">
        <v>3173</v>
      </c>
      <c r="I2418" t="s">
        <v>3174</v>
      </c>
      <c r="J2418" t="s">
        <v>3175</v>
      </c>
      <c r="K2418" t="s">
        <v>3176</v>
      </c>
      <c r="L2418" t="s">
        <v>3177</v>
      </c>
      <c r="M2418" t="s">
        <v>3178</v>
      </c>
      <c r="N2418" t="s">
        <v>3179</v>
      </c>
      <c r="O2418" t="s">
        <v>3180</v>
      </c>
      <c r="P2418" t="s">
        <v>3181</v>
      </c>
      <c r="Q2418" t="s">
        <v>3182</v>
      </c>
    </row>
    <row r="2419" spans="1:17">
      <c r="A2419" t="s">
        <v>3183</v>
      </c>
      <c r="B2419" t="str">
        <f t="shared" ref="B2419:Q2419" si="345">"OFF"</f>
        <v>OFF</v>
      </c>
      <c r="C2419" t="str">
        <f t="shared" si="345"/>
        <v>OFF</v>
      </c>
      <c r="D2419" t="str">
        <f t="shared" si="345"/>
        <v>OFF</v>
      </c>
      <c r="E2419" t="str">
        <f t="shared" si="345"/>
        <v>OFF</v>
      </c>
      <c r="F2419" t="str">
        <f t="shared" si="345"/>
        <v>OFF</v>
      </c>
      <c r="G2419" t="str">
        <f t="shared" si="345"/>
        <v>OFF</v>
      </c>
      <c r="H2419" t="str">
        <f t="shared" si="345"/>
        <v>OFF</v>
      </c>
      <c r="I2419" t="str">
        <f t="shared" si="345"/>
        <v>OFF</v>
      </c>
      <c r="J2419" t="str">
        <f t="shared" si="345"/>
        <v>OFF</v>
      </c>
      <c r="K2419" t="str">
        <f t="shared" si="345"/>
        <v>OFF</v>
      </c>
      <c r="L2419" t="str">
        <f t="shared" si="345"/>
        <v>OFF</v>
      </c>
      <c r="M2419" t="str">
        <f t="shared" si="345"/>
        <v>OFF</v>
      </c>
      <c r="N2419" t="str">
        <f t="shared" si="345"/>
        <v>OFF</v>
      </c>
      <c r="O2419" t="str">
        <f t="shared" si="345"/>
        <v>OFF</v>
      </c>
      <c r="P2419" t="str">
        <f t="shared" si="345"/>
        <v>OFF</v>
      </c>
      <c r="Q2419" t="str">
        <f t="shared" si="345"/>
        <v>OFF</v>
      </c>
    </row>
    <row r="2420" spans="1:17">
      <c r="A2420" t="s">
        <v>53</v>
      </c>
      <c r="B2420" t="str">
        <f t="shared" ref="B2420:Q2420" si="346">"NON"</f>
        <v>NON</v>
      </c>
      <c r="C2420" t="str">
        <f t="shared" si="346"/>
        <v>NON</v>
      </c>
      <c r="D2420" t="str">
        <f t="shared" si="346"/>
        <v>NON</v>
      </c>
      <c r="E2420" t="str">
        <f t="shared" si="346"/>
        <v>NON</v>
      </c>
      <c r="F2420" t="str">
        <f t="shared" si="346"/>
        <v>NON</v>
      </c>
      <c r="G2420" t="str">
        <f t="shared" si="346"/>
        <v>NON</v>
      </c>
      <c r="H2420" t="str">
        <f t="shared" si="346"/>
        <v>NON</v>
      </c>
      <c r="I2420" t="str">
        <f t="shared" si="346"/>
        <v>NON</v>
      </c>
      <c r="J2420" t="str">
        <f t="shared" si="346"/>
        <v>NON</v>
      </c>
      <c r="K2420" t="str">
        <f t="shared" si="346"/>
        <v>NON</v>
      </c>
      <c r="L2420" t="str">
        <f t="shared" si="346"/>
        <v>NON</v>
      </c>
      <c r="M2420" t="str">
        <f t="shared" si="346"/>
        <v>NON</v>
      </c>
      <c r="N2420" t="str">
        <f t="shared" si="346"/>
        <v>NON</v>
      </c>
      <c r="O2420" t="str">
        <f t="shared" si="346"/>
        <v>NON</v>
      </c>
      <c r="P2420" t="str">
        <f t="shared" si="346"/>
        <v>NON</v>
      </c>
      <c r="Q2420" t="str">
        <f t="shared" si="346"/>
        <v>NON</v>
      </c>
    </row>
    <row r="2421" spans="1:17">
      <c r="A2421" t="s">
        <v>127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</row>
    <row r="2423" spans="1:17">
      <c r="B2423" t="s">
        <v>3189</v>
      </c>
      <c r="C2423">
        <v>3</v>
      </c>
      <c r="D2423">
        <v>16</v>
      </c>
      <c r="E2423">
        <v>1</v>
      </c>
    </row>
    <row r="2424" spans="1:17">
      <c r="B2424" t="s">
        <v>3167</v>
      </c>
      <c r="C2424" t="s">
        <v>3168</v>
      </c>
      <c r="D2424" t="s">
        <v>3169</v>
      </c>
      <c r="E2424" t="s">
        <v>3170</v>
      </c>
      <c r="F2424" t="s">
        <v>3171</v>
      </c>
      <c r="G2424" t="s">
        <v>3172</v>
      </c>
      <c r="H2424" t="s">
        <v>3173</v>
      </c>
      <c r="I2424" t="s">
        <v>3174</v>
      </c>
      <c r="J2424" t="s">
        <v>3175</v>
      </c>
      <c r="K2424" t="s">
        <v>3176</v>
      </c>
      <c r="L2424" t="s">
        <v>3177</v>
      </c>
      <c r="M2424" t="s">
        <v>3178</v>
      </c>
      <c r="N2424" t="s">
        <v>3179</v>
      </c>
      <c r="O2424" t="s">
        <v>3180</v>
      </c>
      <c r="P2424" t="s">
        <v>3181</v>
      </c>
      <c r="Q2424" t="s">
        <v>3182</v>
      </c>
    </row>
    <row r="2425" spans="1:17">
      <c r="A2425" t="s">
        <v>3183</v>
      </c>
      <c r="B2425" t="str">
        <f t="shared" ref="B2425:Q2425" si="347">"OFF"</f>
        <v>OFF</v>
      </c>
      <c r="C2425" t="str">
        <f t="shared" si="347"/>
        <v>OFF</v>
      </c>
      <c r="D2425" t="str">
        <f t="shared" si="347"/>
        <v>OFF</v>
      </c>
      <c r="E2425" t="str">
        <f t="shared" si="347"/>
        <v>OFF</v>
      </c>
      <c r="F2425" t="str">
        <f t="shared" si="347"/>
        <v>OFF</v>
      </c>
      <c r="G2425" t="str">
        <f t="shared" si="347"/>
        <v>OFF</v>
      </c>
      <c r="H2425" t="str">
        <f t="shared" si="347"/>
        <v>OFF</v>
      </c>
      <c r="I2425" t="str">
        <f t="shared" si="347"/>
        <v>OFF</v>
      </c>
      <c r="J2425" t="str">
        <f t="shared" si="347"/>
        <v>OFF</v>
      </c>
      <c r="K2425" t="str">
        <f t="shared" si="347"/>
        <v>OFF</v>
      </c>
      <c r="L2425" t="str">
        <f t="shared" si="347"/>
        <v>OFF</v>
      </c>
      <c r="M2425" t="str">
        <f t="shared" si="347"/>
        <v>OFF</v>
      </c>
      <c r="N2425" t="str">
        <f t="shared" si="347"/>
        <v>OFF</v>
      </c>
      <c r="O2425" t="str">
        <f t="shared" si="347"/>
        <v>OFF</v>
      </c>
      <c r="P2425" t="str">
        <f t="shared" si="347"/>
        <v>OFF</v>
      </c>
      <c r="Q2425" t="str">
        <f t="shared" si="347"/>
        <v>OFF</v>
      </c>
    </row>
    <row r="2426" spans="1:17">
      <c r="A2426" t="s">
        <v>53</v>
      </c>
      <c r="B2426" t="str">
        <f t="shared" ref="B2426:Q2426" si="348">"NON"</f>
        <v>NON</v>
      </c>
      <c r="C2426" t="str">
        <f t="shared" si="348"/>
        <v>NON</v>
      </c>
      <c r="D2426" t="str">
        <f t="shared" si="348"/>
        <v>NON</v>
      </c>
      <c r="E2426" t="str">
        <f t="shared" si="348"/>
        <v>NON</v>
      </c>
      <c r="F2426" t="str">
        <f t="shared" si="348"/>
        <v>NON</v>
      </c>
      <c r="G2426" t="str">
        <f t="shared" si="348"/>
        <v>NON</v>
      </c>
      <c r="H2426" t="str">
        <f t="shared" si="348"/>
        <v>NON</v>
      </c>
      <c r="I2426" t="str">
        <f t="shared" si="348"/>
        <v>NON</v>
      </c>
      <c r="J2426" t="str">
        <f t="shared" si="348"/>
        <v>NON</v>
      </c>
      <c r="K2426" t="str">
        <f t="shared" si="348"/>
        <v>NON</v>
      </c>
      <c r="L2426" t="str">
        <f t="shared" si="348"/>
        <v>NON</v>
      </c>
      <c r="M2426" t="str">
        <f t="shared" si="348"/>
        <v>NON</v>
      </c>
      <c r="N2426" t="str">
        <f t="shared" si="348"/>
        <v>NON</v>
      </c>
      <c r="O2426" t="str">
        <f t="shared" si="348"/>
        <v>NON</v>
      </c>
      <c r="P2426" t="str">
        <f t="shared" si="348"/>
        <v>NON</v>
      </c>
      <c r="Q2426" t="str">
        <f t="shared" si="348"/>
        <v>NON</v>
      </c>
    </row>
    <row r="2427" spans="1:17">
      <c r="A2427" t="s">
        <v>127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</row>
    <row r="2429" spans="1:17">
      <c r="B2429" t="s">
        <v>3190</v>
      </c>
      <c r="C2429">
        <v>3</v>
      </c>
      <c r="D2429">
        <v>16</v>
      </c>
      <c r="E2429">
        <v>1</v>
      </c>
    </row>
    <row r="2430" spans="1:17">
      <c r="B2430" t="s">
        <v>3167</v>
      </c>
      <c r="C2430" t="s">
        <v>3168</v>
      </c>
      <c r="D2430" t="s">
        <v>3169</v>
      </c>
      <c r="E2430" t="s">
        <v>3170</v>
      </c>
      <c r="F2430" t="s">
        <v>3171</v>
      </c>
      <c r="G2430" t="s">
        <v>3172</v>
      </c>
      <c r="H2430" t="s">
        <v>3173</v>
      </c>
      <c r="I2430" t="s">
        <v>3174</v>
      </c>
      <c r="J2430" t="s">
        <v>3175</v>
      </c>
      <c r="K2430" t="s">
        <v>3176</v>
      </c>
      <c r="L2430" t="s">
        <v>3177</v>
      </c>
      <c r="M2430" t="s">
        <v>3178</v>
      </c>
      <c r="N2430" t="s">
        <v>3179</v>
      </c>
      <c r="O2430" t="s">
        <v>3180</v>
      </c>
      <c r="P2430" t="s">
        <v>3181</v>
      </c>
      <c r="Q2430" t="s">
        <v>3182</v>
      </c>
    </row>
    <row r="2431" spans="1:17">
      <c r="A2431" t="s">
        <v>3183</v>
      </c>
      <c r="B2431" t="str">
        <f t="shared" ref="B2431:Q2431" si="349">"OFF"</f>
        <v>OFF</v>
      </c>
      <c r="C2431" t="str">
        <f t="shared" si="349"/>
        <v>OFF</v>
      </c>
      <c r="D2431" t="str">
        <f t="shared" si="349"/>
        <v>OFF</v>
      </c>
      <c r="E2431" t="str">
        <f t="shared" si="349"/>
        <v>OFF</v>
      </c>
      <c r="F2431" t="str">
        <f t="shared" si="349"/>
        <v>OFF</v>
      </c>
      <c r="G2431" t="str">
        <f t="shared" si="349"/>
        <v>OFF</v>
      </c>
      <c r="H2431" t="str">
        <f t="shared" si="349"/>
        <v>OFF</v>
      </c>
      <c r="I2431" t="str">
        <f t="shared" si="349"/>
        <v>OFF</v>
      </c>
      <c r="J2431" t="str">
        <f t="shared" si="349"/>
        <v>OFF</v>
      </c>
      <c r="K2431" t="str">
        <f t="shared" si="349"/>
        <v>OFF</v>
      </c>
      <c r="L2431" t="str">
        <f t="shared" si="349"/>
        <v>OFF</v>
      </c>
      <c r="M2431" t="str">
        <f t="shared" si="349"/>
        <v>OFF</v>
      </c>
      <c r="N2431" t="str">
        <f t="shared" si="349"/>
        <v>OFF</v>
      </c>
      <c r="O2431" t="str">
        <f t="shared" si="349"/>
        <v>OFF</v>
      </c>
      <c r="P2431" t="str">
        <f t="shared" si="349"/>
        <v>OFF</v>
      </c>
      <c r="Q2431" t="str">
        <f t="shared" si="349"/>
        <v>OFF</v>
      </c>
    </row>
    <row r="2432" spans="1:17">
      <c r="A2432" t="s">
        <v>53</v>
      </c>
      <c r="B2432" t="str">
        <f t="shared" ref="B2432:Q2432" si="350">"NON"</f>
        <v>NON</v>
      </c>
      <c r="C2432" t="str">
        <f t="shared" si="350"/>
        <v>NON</v>
      </c>
      <c r="D2432" t="str">
        <f t="shared" si="350"/>
        <v>NON</v>
      </c>
      <c r="E2432" t="str">
        <f t="shared" si="350"/>
        <v>NON</v>
      </c>
      <c r="F2432" t="str">
        <f t="shared" si="350"/>
        <v>NON</v>
      </c>
      <c r="G2432" t="str">
        <f t="shared" si="350"/>
        <v>NON</v>
      </c>
      <c r="H2432" t="str">
        <f t="shared" si="350"/>
        <v>NON</v>
      </c>
      <c r="I2432" t="str">
        <f t="shared" si="350"/>
        <v>NON</v>
      </c>
      <c r="J2432" t="str">
        <f t="shared" si="350"/>
        <v>NON</v>
      </c>
      <c r="K2432" t="str">
        <f t="shared" si="350"/>
        <v>NON</v>
      </c>
      <c r="L2432" t="str">
        <f t="shared" si="350"/>
        <v>NON</v>
      </c>
      <c r="M2432" t="str">
        <f t="shared" si="350"/>
        <v>NON</v>
      </c>
      <c r="N2432" t="str">
        <f t="shared" si="350"/>
        <v>NON</v>
      </c>
      <c r="O2432" t="str">
        <f t="shared" si="350"/>
        <v>NON</v>
      </c>
      <c r="P2432" t="str">
        <f t="shared" si="350"/>
        <v>NON</v>
      </c>
      <c r="Q2432" t="str">
        <f t="shared" si="350"/>
        <v>NON</v>
      </c>
    </row>
    <row r="2433" spans="1:17">
      <c r="A2433" t="s">
        <v>127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</row>
    <row r="2435" spans="1:17">
      <c r="B2435" t="s">
        <v>3191</v>
      </c>
      <c r="C2435">
        <v>3</v>
      </c>
      <c r="D2435">
        <v>16</v>
      </c>
      <c r="E2435">
        <v>1</v>
      </c>
    </row>
    <row r="2436" spans="1:17">
      <c r="B2436" t="s">
        <v>3167</v>
      </c>
      <c r="C2436" t="s">
        <v>3168</v>
      </c>
      <c r="D2436" t="s">
        <v>3169</v>
      </c>
      <c r="E2436" t="s">
        <v>3170</v>
      </c>
      <c r="F2436" t="s">
        <v>3171</v>
      </c>
      <c r="G2436" t="s">
        <v>3172</v>
      </c>
      <c r="H2436" t="s">
        <v>3173</v>
      </c>
      <c r="I2436" t="s">
        <v>3174</v>
      </c>
      <c r="J2436" t="s">
        <v>3175</v>
      </c>
      <c r="K2436" t="s">
        <v>3176</v>
      </c>
      <c r="L2436" t="s">
        <v>3177</v>
      </c>
      <c r="M2436" t="s">
        <v>3178</v>
      </c>
      <c r="N2436" t="s">
        <v>3179</v>
      </c>
      <c r="O2436" t="s">
        <v>3180</v>
      </c>
      <c r="P2436" t="s">
        <v>3181</v>
      </c>
      <c r="Q2436" t="s">
        <v>3182</v>
      </c>
    </row>
    <row r="2437" spans="1:17">
      <c r="A2437" t="s">
        <v>3183</v>
      </c>
      <c r="B2437" t="str">
        <f t="shared" ref="B2437:Q2437" si="351">"OFF"</f>
        <v>OFF</v>
      </c>
      <c r="C2437" t="str">
        <f t="shared" si="351"/>
        <v>OFF</v>
      </c>
      <c r="D2437" t="str">
        <f t="shared" si="351"/>
        <v>OFF</v>
      </c>
      <c r="E2437" t="str">
        <f t="shared" si="351"/>
        <v>OFF</v>
      </c>
      <c r="F2437" t="str">
        <f t="shared" si="351"/>
        <v>OFF</v>
      </c>
      <c r="G2437" t="str">
        <f t="shared" si="351"/>
        <v>OFF</v>
      </c>
      <c r="H2437" t="str">
        <f t="shared" si="351"/>
        <v>OFF</v>
      </c>
      <c r="I2437" t="str">
        <f t="shared" si="351"/>
        <v>OFF</v>
      </c>
      <c r="J2437" t="str">
        <f t="shared" si="351"/>
        <v>OFF</v>
      </c>
      <c r="K2437" t="str">
        <f t="shared" si="351"/>
        <v>OFF</v>
      </c>
      <c r="L2437" t="str">
        <f t="shared" si="351"/>
        <v>OFF</v>
      </c>
      <c r="M2437" t="str">
        <f t="shared" si="351"/>
        <v>OFF</v>
      </c>
      <c r="N2437" t="str">
        <f t="shared" si="351"/>
        <v>OFF</v>
      </c>
      <c r="O2437" t="str">
        <f t="shared" si="351"/>
        <v>OFF</v>
      </c>
      <c r="P2437" t="str">
        <f t="shared" si="351"/>
        <v>OFF</v>
      </c>
      <c r="Q2437" t="str">
        <f t="shared" si="351"/>
        <v>OFF</v>
      </c>
    </row>
    <row r="2438" spans="1:17">
      <c r="A2438" t="s">
        <v>53</v>
      </c>
      <c r="B2438" t="str">
        <f t="shared" ref="B2438:Q2438" si="352">"NON"</f>
        <v>NON</v>
      </c>
      <c r="C2438" t="str">
        <f t="shared" si="352"/>
        <v>NON</v>
      </c>
      <c r="D2438" t="str">
        <f t="shared" si="352"/>
        <v>NON</v>
      </c>
      <c r="E2438" t="str">
        <f t="shared" si="352"/>
        <v>NON</v>
      </c>
      <c r="F2438" t="str">
        <f t="shared" si="352"/>
        <v>NON</v>
      </c>
      <c r="G2438" t="str">
        <f t="shared" si="352"/>
        <v>NON</v>
      </c>
      <c r="H2438" t="str">
        <f t="shared" si="352"/>
        <v>NON</v>
      </c>
      <c r="I2438" t="str">
        <f t="shared" si="352"/>
        <v>NON</v>
      </c>
      <c r="J2438" t="str">
        <f t="shared" si="352"/>
        <v>NON</v>
      </c>
      <c r="K2438" t="str">
        <f t="shared" si="352"/>
        <v>NON</v>
      </c>
      <c r="L2438" t="str">
        <f t="shared" si="352"/>
        <v>NON</v>
      </c>
      <c r="M2438" t="str">
        <f t="shared" si="352"/>
        <v>NON</v>
      </c>
      <c r="N2438" t="str">
        <f t="shared" si="352"/>
        <v>NON</v>
      </c>
      <c r="O2438" t="str">
        <f t="shared" si="352"/>
        <v>NON</v>
      </c>
      <c r="P2438" t="str">
        <f t="shared" si="352"/>
        <v>NON</v>
      </c>
      <c r="Q2438" t="str">
        <f t="shared" si="352"/>
        <v>NON</v>
      </c>
    </row>
    <row r="2439" spans="1:17">
      <c r="A2439" t="s">
        <v>127</v>
      </c>
      <c r="B2439">
        <v>30</v>
      </c>
      <c r="C2439">
        <v>40</v>
      </c>
      <c r="D2439">
        <v>35</v>
      </c>
      <c r="E2439">
        <v>55</v>
      </c>
      <c r="F2439">
        <v>40</v>
      </c>
      <c r="G2439">
        <v>40</v>
      </c>
      <c r="H2439">
        <v>35</v>
      </c>
      <c r="I2439">
        <v>55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</row>
    <row r="2441" spans="1:17">
      <c r="B2441" t="s">
        <v>3192</v>
      </c>
      <c r="C2441">
        <v>3</v>
      </c>
      <c r="D2441">
        <v>16</v>
      </c>
      <c r="E2441">
        <v>1</v>
      </c>
    </row>
    <row r="2442" spans="1:17">
      <c r="B2442" t="s">
        <v>3167</v>
      </c>
      <c r="C2442" t="s">
        <v>3168</v>
      </c>
      <c r="D2442" t="s">
        <v>3169</v>
      </c>
      <c r="E2442" t="s">
        <v>3170</v>
      </c>
      <c r="F2442" t="s">
        <v>3171</v>
      </c>
      <c r="G2442" t="s">
        <v>3172</v>
      </c>
      <c r="H2442" t="s">
        <v>3173</v>
      </c>
      <c r="I2442" t="s">
        <v>3174</v>
      </c>
      <c r="J2442" t="s">
        <v>3175</v>
      </c>
      <c r="K2442" t="s">
        <v>3176</v>
      </c>
      <c r="L2442" t="s">
        <v>3177</v>
      </c>
      <c r="M2442" t="s">
        <v>3178</v>
      </c>
      <c r="N2442" t="s">
        <v>3179</v>
      </c>
      <c r="O2442" t="s">
        <v>3180</v>
      </c>
      <c r="P2442" t="s">
        <v>3181</v>
      </c>
      <c r="Q2442" t="s">
        <v>3182</v>
      </c>
    </row>
    <row r="2443" spans="1:17">
      <c r="A2443" t="s">
        <v>3183</v>
      </c>
      <c r="B2443" t="str">
        <f t="shared" ref="B2443:Q2443" si="353">"OFF"</f>
        <v>OFF</v>
      </c>
      <c r="C2443" t="str">
        <f t="shared" si="353"/>
        <v>OFF</v>
      </c>
      <c r="D2443" t="str">
        <f t="shared" si="353"/>
        <v>OFF</v>
      </c>
      <c r="E2443" t="str">
        <f t="shared" si="353"/>
        <v>OFF</v>
      </c>
      <c r="F2443" t="str">
        <f t="shared" si="353"/>
        <v>OFF</v>
      </c>
      <c r="G2443" t="str">
        <f t="shared" si="353"/>
        <v>OFF</v>
      </c>
      <c r="H2443" t="str">
        <f t="shared" si="353"/>
        <v>OFF</v>
      </c>
      <c r="I2443" t="str">
        <f t="shared" si="353"/>
        <v>OFF</v>
      </c>
      <c r="J2443" t="str">
        <f t="shared" si="353"/>
        <v>OFF</v>
      </c>
      <c r="K2443" t="str">
        <f t="shared" si="353"/>
        <v>OFF</v>
      </c>
      <c r="L2443" t="str">
        <f t="shared" si="353"/>
        <v>OFF</v>
      </c>
      <c r="M2443" t="str">
        <f t="shared" si="353"/>
        <v>OFF</v>
      </c>
      <c r="N2443" t="str">
        <f t="shared" si="353"/>
        <v>OFF</v>
      </c>
      <c r="O2443" t="str">
        <f t="shared" si="353"/>
        <v>OFF</v>
      </c>
      <c r="P2443" t="str">
        <f t="shared" si="353"/>
        <v>OFF</v>
      </c>
      <c r="Q2443" t="str">
        <f t="shared" si="353"/>
        <v>OFF</v>
      </c>
    </row>
    <row r="2444" spans="1:17">
      <c r="A2444" t="s">
        <v>53</v>
      </c>
      <c r="B2444" t="str">
        <f t="shared" ref="B2444:Q2444" si="354">"NON"</f>
        <v>NON</v>
      </c>
      <c r="C2444" t="str">
        <f t="shared" si="354"/>
        <v>NON</v>
      </c>
      <c r="D2444" t="str">
        <f t="shared" si="354"/>
        <v>NON</v>
      </c>
      <c r="E2444" t="str">
        <f t="shared" si="354"/>
        <v>NON</v>
      </c>
      <c r="F2444" t="str">
        <f t="shared" si="354"/>
        <v>NON</v>
      </c>
      <c r="G2444" t="str">
        <f t="shared" si="354"/>
        <v>NON</v>
      </c>
      <c r="H2444" t="str">
        <f t="shared" si="354"/>
        <v>NON</v>
      </c>
      <c r="I2444" t="str">
        <f t="shared" si="354"/>
        <v>NON</v>
      </c>
      <c r="J2444" t="str">
        <f t="shared" si="354"/>
        <v>NON</v>
      </c>
      <c r="K2444" t="str">
        <f t="shared" si="354"/>
        <v>NON</v>
      </c>
      <c r="L2444" t="str">
        <f t="shared" si="354"/>
        <v>NON</v>
      </c>
      <c r="M2444" t="str">
        <f t="shared" si="354"/>
        <v>NON</v>
      </c>
      <c r="N2444" t="str">
        <f t="shared" si="354"/>
        <v>NON</v>
      </c>
      <c r="O2444" t="str">
        <f t="shared" si="354"/>
        <v>NON</v>
      </c>
      <c r="P2444" t="str">
        <f t="shared" si="354"/>
        <v>NON</v>
      </c>
      <c r="Q2444" t="str">
        <f t="shared" si="354"/>
        <v>NON</v>
      </c>
    </row>
    <row r="2445" spans="1:17">
      <c r="A2445" t="s">
        <v>127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</row>
    <row r="2447" spans="1:17">
      <c r="B2447" t="s">
        <v>3193</v>
      </c>
      <c r="C2447">
        <v>3</v>
      </c>
      <c r="D2447">
        <v>16</v>
      </c>
      <c r="E2447">
        <v>1</v>
      </c>
    </row>
    <row r="2448" spans="1:17">
      <c r="B2448" t="s">
        <v>3167</v>
      </c>
      <c r="C2448" t="s">
        <v>3168</v>
      </c>
      <c r="D2448" t="s">
        <v>3169</v>
      </c>
      <c r="E2448" t="s">
        <v>3170</v>
      </c>
      <c r="F2448" t="s">
        <v>3171</v>
      </c>
      <c r="G2448" t="s">
        <v>3172</v>
      </c>
      <c r="H2448" t="s">
        <v>3173</v>
      </c>
      <c r="I2448" t="s">
        <v>3174</v>
      </c>
      <c r="J2448" t="s">
        <v>3175</v>
      </c>
      <c r="K2448" t="s">
        <v>3176</v>
      </c>
      <c r="L2448" t="s">
        <v>3177</v>
      </c>
      <c r="M2448" t="s">
        <v>3178</v>
      </c>
      <c r="N2448" t="s">
        <v>3179</v>
      </c>
      <c r="O2448" t="s">
        <v>3180</v>
      </c>
      <c r="P2448" t="s">
        <v>3181</v>
      </c>
      <c r="Q2448" t="s">
        <v>3182</v>
      </c>
    </row>
    <row r="2449" spans="1:17">
      <c r="A2449" t="s">
        <v>3183</v>
      </c>
      <c r="B2449" t="str">
        <f t="shared" ref="B2449:Q2449" si="355">"OFF"</f>
        <v>OFF</v>
      </c>
      <c r="C2449" t="str">
        <f t="shared" si="355"/>
        <v>OFF</v>
      </c>
      <c r="D2449" t="str">
        <f t="shared" si="355"/>
        <v>OFF</v>
      </c>
      <c r="E2449" t="str">
        <f t="shared" si="355"/>
        <v>OFF</v>
      </c>
      <c r="F2449" t="str">
        <f t="shared" si="355"/>
        <v>OFF</v>
      </c>
      <c r="G2449" t="str">
        <f t="shared" si="355"/>
        <v>OFF</v>
      </c>
      <c r="H2449" t="str">
        <f t="shared" si="355"/>
        <v>OFF</v>
      </c>
      <c r="I2449" t="str">
        <f t="shared" si="355"/>
        <v>OFF</v>
      </c>
      <c r="J2449" t="str">
        <f t="shared" si="355"/>
        <v>OFF</v>
      </c>
      <c r="K2449" t="str">
        <f t="shared" si="355"/>
        <v>OFF</v>
      </c>
      <c r="L2449" t="str">
        <f t="shared" si="355"/>
        <v>OFF</v>
      </c>
      <c r="M2449" t="str">
        <f t="shared" si="355"/>
        <v>OFF</v>
      </c>
      <c r="N2449" t="str">
        <f t="shared" si="355"/>
        <v>OFF</v>
      </c>
      <c r="O2449" t="str">
        <f t="shared" si="355"/>
        <v>OFF</v>
      </c>
      <c r="P2449" t="str">
        <f t="shared" si="355"/>
        <v>OFF</v>
      </c>
      <c r="Q2449" t="str">
        <f t="shared" si="355"/>
        <v>OFF</v>
      </c>
    </row>
    <row r="2450" spans="1:17">
      <c r="A2450" t="s">
        <v>53</v>
      </c>
      <c r="B2450" t="str">
        <f t="shared" ref="B2450:Q2450" si="356">"NON"</f>
        <v>NON</v>
      </c>
      <c r="C2450" t="str">
        <f t="shared" si="356"/>
        <v>NON</v>
      </c>
      <c r="D2450" t="str">
        <f t="shared" si="356"/>
        <v>NON</v>
      </c>
      <c r="E2450" t="str">
        <f t="shared" si="356"/>
        <v>NON</v>
      </c>
      <c r="F2450" t="str">
        <f t="shared" si="356"/>
        <v>NON</v>
      </c>
      <c r="G2450" t="str">
        <f t="shared" si="356"/>
        <v>NON</v>
      </c>
      <c r="H2450" t="str">
        <f t="shared" si="356"/>
        <v>NON</v>
      </c>
      <c r="I2450" t="str">
        <f t="shared" si="356"/>
        <v>NON</v>
      </c>
      <c r="J2450" t="str">
        <f t="shared" si="356"/>
        <v>NON</v>
      </c>
      <c r="K2450" t="str">
        <f t="shared" si="356"/>
        <v>NON</v>
      </c>
      <c r="L2450" t="str">
        <f t="shared" si="356"/>
        <v>NON</v>
      </c>
      <c r="M2450" t="str">
        <f t="shared" si="356"/>
        <v>NON</v>
      </c>
      <c r="N2450" t="str">
        <f t="shared" si="356"/>
        <v>NON</v>
      </c>
      <c r="O2450" t="str">
        <f t="shared" si="356"/>
        <v>NON</v>
      </c>
      <c r="P2450" t="str">
        <f t="shared" si="356"/>
        <v>NON</v>
      </c>
      <c r="Q2450" t="str">
        <f t="shared" si="356"/>
        <v>NON</v>
      </c>
    </row>
    <row r="2451" spans="1:17">
      <c r="A2451" t="s">
        <v>127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</row>
    <row r="2453" spans="1:17">
      <c r="B2453" t="s">
        <v>3194</v>
      </c>
      <c r="C2453">
        <v>3</v>
      </c>
      <c r="D2453">
        <v>16</v>
      </c>
      <c r="E2453">
        <v>1</v>
      </c>
    </row>
    <row r="2454" spans="1:17">
      <c r="B2454" t="s">
        <v>3167</v>
      </c>
      <c r="C2454" t="s">
        <v>3168</v>
      </c>
      <c r="D2454" t="s">
        <v>3169</v>
      </c>
      <c r="E2454" t="s">
        <v>3170</v>
      </c>
      <c r="F2454" t="s">
        <v>3171</v>
      </c>
      <c r="G2454" t="s">
        <v>3172</v>
      </c>
      <c r="H2454" t="s">
        <v>3173</v>
      </c>
      <c r="I2454" t="s">
        <v>3174</v>
      </c>
      <c r="J2454" t="s">
        <v>3175</v>
      </c>
      <c r="K2454" t="s">
        <v>3176</v>
      </c>
      <c r="L2454" t="s">
        <v>3177</v>
      </c>
      <c r="M2454" t="s">
        <v>3178</v>
      </c>
      <c r="N2454" t="s">
        <v>3179</v>
      </c>
      <c r="O2454" t="s">
        <v>3180</v>
      </c>
      <c r="P2454" t="s">
        <v>3181</v>
      </c>
      <c r="Q2454" t="s">
        <v>3182</v>
      </c>
    </row>
    <row r="2455" spans="1:17">
      <c r="A2455" t="s">
        <v>3183</v>
      </c>
      <c r="B2455" t="str">
        <f t="shared" ref="B2455:Q2455" si="357">"OFF"</f>
        <v>OFF</v>
      </c>
      <c r="C2455" t="str">
        <f t="shared" si="357"/>
        <v>OFF</v>
      </c>
      <c r="D2455" t="str">
        <f t="shared" si="357"/>
        <v>OFF</v>
      </c>
      <c r="E2455" t="str">
        <f t="shared" si="357"/>
        <v>OFF</v>
      </c>
      <c r="F2455" t="str">
        <f t="shared" si="357"/>
        <v>OFF</v>
      </c>
      <c r="G2455" t="str">
        <f t="shared" si="357"/>
        <v>OFF</v>
      </c>
      <c r="H2455" t="str">
        <f t="shared" si="357"/>
        <v>OFF</v>
      </c>
      <c r="I2455" t="str">
        <f t="shared" si="357"/>
        <v>OFF</v>
      </c>
      <c r="J2455" t="str">
        <f t="shared" si="357"/>
        <v>OFF</v>
      </c>
      <c r="K2455" t="str">
        <f t="shared" si="357"/>
        <v>OFF</v>
      </c>
      <c r="L2455" t="str">
        <f t="shared" si="357"/>
        <v>OFF</v>
      </c>
      <c r="M2455" t="str">
        <f t="shared" si="357"/>
        <v>OFF</v>
      </c>
      <c r="N2455" t="str">
        <f t="shared" si="357"/>
        <v>OFF</v>
      </c>
      <c r="O2455" t="str">
        <f t="shared" si="357"/>
        <v>OFF</v>
      </c>
      <c r="P2455" t="str">
        <f t="shared" si="357"/>
        <v>OFF</v>
      </c>
      <c r="Q2455" t="str">
        <f t="shared" si="357"/>
        <v>OFF</v>
      </c>
    </row>
    <row r="2456" spans="1:17">
      <c r="A2456" t="s">
        <v>53</v>
      </c>
      <c r="B2456" t="str">
        <f t="shared" ref="B2456:Q2456" si="358">"NON"</f>
        <v>NON</v>
      </c>
      <c r="C2456" t="str">
        <f t="shared" si="358"/>
        <v>NON</v>
      </c>
      <c r="D2456" t="str">
        <f t="shared" si="358"/>
        <v>NON</v>
      </c>
      <c r="E2456" t="str">
        <f t="shared" si="358"/>
        <v>NON</v>
      </c>
      <c r="F2456" t="str">
        <f t="shared" si="358"/>
        <v>NON</v>
      </c>
      <c r="G2456" t="str">
        <f t="shared" si="358"/>
        <v>NON</v>
      </c>
      <c r="H2456" t="str">
        <f t="shared" si="358"/>
        <v>NON</v>
      </c>
      <c r="I2456" t="str">
        <f t="shared" si="358"/>
        <v>NON</v>
      </c>
      <c r="J2456" t="str">
        <f t="shared" si="358"/>
        <v>NON</v>
      </c>
      <c r="K2456" t="str">
        <f t="shared" si="358"/>
        <v>NON</v>
      </c>
      <c r="L2456" t="str">
        <f t="shared" si="358"/>
        <v>NON</v>
      </c>
      <c r="M2456" t="str">
        <f t="shared" si="358"/>
        <v>NON</v>
      </c>
      <c r="N2456" t="str">
        <f t="shared" si="358"/>
        <v>NON</v>
      </c>
      <c r="O2456" t="str">
        <f t="shared" si="358"/>
        <v>NON</v>
      </c>
      <c r="P2456" t="str">
        <f t="shared" si="358"/>
        <v>NON</v>
      </c>
      <c r="Q2456" t="str">
        <f t="shared" si="358"/>
        <v>NON</v>
      </c>
    </row>
    <row r="2457" spans="1:17">
      <c r="A2457" t="s">
        <v>127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</row>
    <row r="2459" spans="1:17">
      <c r="B2459" t="s">
        <v>3195</v>
      </c>
      <c r="C2459">
        <v>3</v>
      </c>
      <c r="D2459">
        <v>16</v>
      </c>
      <c r="E2459">
        <v>1</v>
      </c>
    </row>
    <row r="2460" spans="1:17">
      <c r="B2460" t="s">
        <v>3167</v>
      </c>
      <c r="C2460" t="s">
        <v>3168</v>
      </c>
      <c r="D2460" t="s">
        <v>3169</v>
      </c>
      <c r="E2460" t="s">
        <v>3170</v>
      </c>
      <c r="F2460" t="s">
        <v>3171</v>
      </c>
      <c r="G2460" t="s">
        <v>3172</v>
      </c>
      <c r="H2460" t="s">
        <v>3173</v>
      </c>
      <c r="I2460" t="s">
        <v>3174</v>
      </c>
      <c r="J2460" t="s">
        <v>3175</v>
      </c>
      <c r="K2460" t="s">
        <v>3176</v>
      </c>
      <c r="L2460" t="s">
        <v>3177</v>
      </c>
      <c r="M2460" t="s">
        <v>3178</v>
      </c>
      <c r="N2460" t="s">
        <v>3179</v>
      </c>
      <c r="O2460" t="s">
        <v>3180</v>
      </c>
      <c r="P2460" t="s">
        <v>3181</v>
      </c>
      <c r="Q2460" t="s">
        <v>3182</v>
      </c>
    </row>
    <row r="2461" spans="1:17">
      <c r="A2461" t="s">
        <v>3183</v>
      </c>
      <c r="B2461" t="str">
        <f t="shared" ref="B2461:Q2461" si="359">"OFF"</f>
        <v>OFF</v>
      </c>
      <c r="C2461" t="str">
        <f t="shared" si="359"/>
        <v>OFF</v>
      </c>
      <c r="D2461" t="str">
        <f t="shared" si="359"/>
        <v>OFF</v>
      </c>
      <c r="E2461" t="str">
        <f t="shared" si="359"/>
        <v>OFF</v>
      </c>
      <c r="F2461" t="str">
        <f t="shared" si="359"/>
        <v>OFF</v>
      </c>
      <c r="G2461" t="str">
        <f t="shared" si="359"/>
        <v>OFF</v>
      </c>
      <c r="H2461" t="str">
        <f t="shared" si="359"/>
        <v>OFF</v>
      </c>
      <c r="I2461" t="str">
        <f t="shared" si="359"/>
        <v>OFF</v>
      </c>
      <c r="J2461" t="str">
        <f t="shared" si="359"/>
        <v>OFF</v>
      </c>
      <c r="K2461" t="str">
        <f t="shared" si="359"/>
        <v>OFF</v>
      </c>
      <c r="L2461" t="str">
        <f t="shared" si="359"/>
        <v>OFF</v>
      </c>
      <c r="M2461" t="str">
        <f t="shared" si="359"/>
        <v>OFF</v>
      </c>
      <c r="N2461" t="str">
        <f t="shared" si="359"/>
        <v>OFF</v>
      </c>
      <c r="O2461" t="str">
        <f t="shared" si="359"/>
        <v>OFF</v>
      </c>
      <c r="P2461" t="str">
        <f t="shared" si="359"/>
        <v>OFF</v>
      </c>
      <c r="Q2461" t="str">
        <f t="shared" si="359"/>
        <v>OFF</v>
      </c>
    </row>
    <row r="2462" spans="1:17">
      <c r="A2462" t="s">
        <v>53</v>
      </c>
      <c r="B2462" t="str">
        <f t="shared" ref="B2462:Q2462" si="360">"NON"</f>
        <v>NON</v>
      </c>
      <c r="C2462" t="str">
        <f t="shared" si="360"/>
        <v>NON</v>
      </c>
      <c r="D2462" t="str">
        <f t="shared" si="360"/>
        <v>NON</v>
      </c>
      <c r="E2462" t="str">
        <f t="shared" si="360"/>
        <v>NON</v>
      </c>
      <c r="F2462" t="str">
        <f t="shared" si="360"/>
        <v>NON</v>
      </c>
      <c r="G2462" t="str">
        <f t="shared" si="360"/>
        <v>NON</v>
      </c>
      <c r="H2462" t="str">
        <f t="shared" si="360"/>
        <v>NON</v>
      </c>
      <c r="I2462" t="str">
        <f t="shared" si="360"/>
        <v>NON</v>
      </c>
      <c r="J2462" t="str">
        <f t="shared" si="360"/>
        <v>NON</v>
      </c>
      <c r="K2462" t="str">
        <f t="shared" si="360"/>
        <v>NON</v>
      </c>
      <c r="L2462" t="str">
        <f t="shared" si="360"/>
        <v>NON</v>
      </c>
      <c r="M2462" t="str">
        <f t="shared" si="360"/>
        <v>NON</v>
      </c>
      <c r="N2462" t="str">
        <f t="shared" si="360"/>
        <v>NON</v>
      </c>
      <c r="O2462" t="str">
        <f t="shared" si="360"/>
        <v>NON</v>
      </c>
      <c r="P2462" t="str">
        <f t="shared" si="360"/>
        <v>NON</v>
      </c>
      <c r="Q2462" t="str">
        <f t="shared" si="360"/>
        <v>NON</v>
      </c>
    </row>
    <row r="2463" spans="1:17">
      <c r="A2463" t="s">
        <v>127</v>
      </c>
      <c r="B2463">
        <v>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</row>
    <row r="2465" spans="1:17">
      <c r="B2465" t="s">
        <v>3196</v>
      </c>
      <c r="C2465">
        <v>3</v>
      </c>
      <c r="D2465">
        <v>16</v>
      </c>
      <c r="E2465">
        <v>1</v>
      </c>
    </row>
    <row r="2466" spans="1:17">
      <c r="B2466" t="s">
        <v>3167</v>
      </c>
      <c r="C2466" t="s">
        <v>3168</v>
      </c>
      <c r="D2466" t="s">
        <v>3169</v>
      </c>
      <c r="E2466" t="s">
        <v>3170</v>
      </c>
      <c r="F2466" t="s">
        <v>3171</v>
      </c>
      <c r="G2466" t="s">
        <v>3172</v>
      </c>
      <c r="H2466" t="s">
        <v>3173</v>
      </c>
      <c r="I2466" t="s">
        <v>3174</v>
      </c>
      <c r="J2466" t="s">
        <v>3175</v>
      </c>
      <c r="K2466" t="s">
        <v>3176</v>
      </c>
      <c r="L2466" t="s">
        <v>3177</v>
      </c>
      <c r="M2466" t="s">
        <v>3178</v>
      </c>
      <c r="N2466" t="s">
        <v>3179</v>
      </c>
      <c r="O2466" t="s">
        <v>3180</v>
      </c>
      <c r="P2466" t="s">
        <v>3181</v>
      </c>
      <c r="Q2466" t="s">
        <v>3182</v>
      </c>
    </row>
    <row r="2467" spans="1:17">
      <c r="A2467" t="s">
        <v>3183</v>
      </c>
      <c r="B2467" t="str">
        <f t="shared" ref="B2467:Q2467" si="361">"OFF"</f>
        <v>OFF</v>
      </c>
      <c r="C2467" t="str">
        <f t="shared" si="361"/>
        <v>OFF</v>
      </c>
      <c r="D2467" t="str">
        <f t="shared" si="361"/>
        <v>OFF</v>
      </c>
      <c r="E2467" t="str">
        <f t="shared" si="361"/>
        <v>OFF</v>
      </c>
      <c r="F2467" t="str">
        <f t="shared" si="361"/>
        <v>OFF</v>
      </c>
      <c r="G2467" t="str">
        <f t="shared" si="361"/>
        <v>OFF</v>
      </c>
      <c r="H2467" t="str">
        <f t="shared" si="361"/>
        <v>OFF</v>
      </c>
      <c r="I2467" t="str">
        <f t="shared" si="361"/>
        <v>OFF</v>
      </c>
      <c r="J2467" t="str">
        <f t="shared" si="361"/>
        <v>OFF</v>
      </c>
      <c r="K2467" t="str">
        <f t="shared" si="361"/>
        <v>OFF</v>
      </c>
      <c r="L2467" t="str">
        <f t="shared" si="361"/>
        <v>OFF</v>
      </c>
      <c r="M2467" t="str">
        <f t="shared" si="361"/>
        <v>OFF</v>
      </c>
      <c r="N2467" t="str">
        <f t="shared" si="361"/>
        <v>OFF</v>
      </c>
      <c r="O2467" t="str">
        <f t="shared" si="361"/>
        <v>OFF</v>
      </c>
      <c r="P2467" t="str">
        <f t="shared" si="361"/>
        <v>OFF</v>
      </c>
      <c r="Q2467" t="str">
        <f t="shared" si="361"/>
        <v>OFF</v>
      </c>
    </row>
    <row r="2468" spans="1:17">
      <c r="A2468" t="s">
        <v>53</v>
      </c>
      <c r="B2468" t="str">
        <f t="shared" ref="B2468:Q2468" si="362">"NON"</f>
        <v>NON</v>
      </c>
      <c r="C2468" t="str">
        <f t="shared" si="362"/>
        <v>NON</v>
      </c>
      <c r="D2468" t="str">
        <f t="shared" si="362"/>
        <v>NON</v>
      </c>
      <c r="E2468" t="str">
        <f t="shared" si="362"/>
        <v>NON</v>
      </c>
      <c r="F2468" t="str">
        <f t="shared" si="362"/>
        <v>NON</v>
      </c>
      <c r="G2468" t="str">
        <f t="shared" si="362"/>
        <v>NON</v>
      </c>
      <c r="H2468" t="str">
        <f t="shared" si="362"/>
        <v>NON</v>
      </c>
      <c r="I2468" t="str">
        <f t="shared" si="362"/>
        <v>NON</v>
      </c>
      <c r="J2468" t="str">
        <f t="shared" si="362"/>
        <v>NON</v>
      </c>
      <c r="K2468" t="str">
        <f t="shared" si="362"/>
        <v>NON</v>
      </c>
      <c r="L2468" t="str">
        <f t="shared" si="362"/>
        <v>NON</v>
      </c>
      <c r="M2468" t="str">
        <f t="shared" si="362"/>
        <v>NON</v>
      </c>
      <c r="N2468" t="str">
        <f t="shared" si="362"/>
        <v>NON</v>
      </c>
      <c r="O2468" t="str">
        <f t="shared" si="362"/>
        <v>NON</v>
      </c>
      <c r="P2468" t="str">
        <f t="shared" si="362"/>
        <v>NON</v>
      </c>
      <c r="Q2468" t="str">
        <f t="shared" si="362"/>
        <v>NON</v>
      </c>
    </row>
    <row r="2469" spans="1:17">
      <c r="A2469" t="s">
        <v>127</v>
      </c>
      <c r="B2469">
        <v>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</row>
    <row r="2471" spans="1:17">
      <c r="B2471" t="s">
        <v>3197</v>
      </c>
      <c r="C2471">
        <v>3</v>
      </c>
      <c r="D2471">
        <v>16</v>
      </c>
      <c r="E2471">
        <v>1</v>
      </c>
    </row>
    <row r="2472" spans="1:17">
      <c r="B2472" t="s">
        <v>3167</v>
      </c>
      <c r="C2472" t="s">
        <v>3168</v>
      </c>
      <c r="D2472" t="s">
        <v>3169</v>
      </c>
      <c r="E2472" t="s">
        <v>3170</v>
      </c>
      <c r="F2472" t="s">
        <v>3171</v>
      </c>
      <c r="G2472" t="s">
        <v>3172</v>
      </c>
      <c r="H2472" t="s">
        <v>3173</v>
      </c>
      <c r="I2472" t="s">
        <v>3174</v>
      </c>
      <c r="J2472" t="s">
        <v>3175</v>
      </c>
      <c r="K2472" t="s">
        <v>3176</v>
      </c>
      <c r="L2472" t="s">
        <v>3177</v>
      </c>
      <c r="M2472" t="s">
        <v>3178</v>
      </c>
      <c r="N2472" t="s">
        <v>3179</v>
      </c>
      <c r="O2472" t="s">
        <v>3180</v>
      </c>
      <c r="P2472" t="s">
        <v>3181</v>
      </c>
      <c r="Q2472" t="s">
        <v>3182</v>
      </c>
    </row>
    <row r="2473" spans="1:17">
      <c r="A2473" t="s">
        <v>3183</v>
      </c>
      <c r="B2473" t="str">
        <f t="shared" ref="B2473:Q2473" si="363">"OFF"</f>
        <v>OFF</v>
      </c>
      <c r="C2473" t="str">
        <f t="shared" si="363"/>
        <v>OFF</v>
      </c>
      <c r="D2473" t="str">
        <f t="shared" si="363"/>
        <v>OFF</v>
      </c>
      <c r="E2473" t="str">
        <f t="shared" si="363"/>
        <v>OFF</v>
      </c>
      <c r="F2473" t="str">
        <f t="shared" si="363"/>
        <v>OFF</v>
      </c>
      <c r="G2473" t="str">
        <f t="shared" si="363"/>
        <v>OFF</v>
      </c>
      <c r="H2473" t="str">
        <f t="shared" si="363"/>
        <v>OFF</v>
      </c>
      <c r="I2473" t="str">
        <f t="shared" si="363"/>
        <v>OFF</v>
      </c>
      <c r="J2473" t="str">
        <f t="shared" si="363"/>
        <v>OFF</v>
      </c>
      <c r="K2473" t="str">
        <f t="shared" si="363"/>
        <v>OFF</v>
      </c>
      <c r="L2473" t="str">
        <f t="shared" si="363"/>
        <v>OFF</v>
      </c>
      <c r="M2473" t="str">
        <f t="shared" si="363"/>
        <v>OFF</v>
      </c>
      <c r="N2473" t="str">
        <f t="shared" si="363"/>
        <v>OFF</v>
      </c>
      <c r="O2473" t="str">
        <f t="shared" si="363"/>
        <v>OFF</v>
      </c>
      <c r="P2473" t="str">
        <f t="shared" si="363"/>
        <v>OFF</v>
      </c>
      <c r="Q2473" t="str">
        <f t="shared" si="363"/>
        <v>OFF</v>
      </c>
    </row>
    <row r="2474" spans="1:17">
      <c r="A2474" t="s">
        <v>53</v>
      </c>
      <c r="B2474" t="str">
        <f t="shared" ref="B2474:Q2474" si="364">"NON"</f>
        <v>NON</v>
      </c>
      <c r="C2474" t="str">
        <f t="shared" si="364"/>
        <v>NON</v>
      </c>
      <c r="D2474" t="str">
        <f t="shared" si="364"/>
        <v>NON</v>
      </c>
      <c r="E2474" t="str">
        <f t="shared" si="364"/>
        <v>NON</v>
      </c>
      <c r="F2474" t="str">
        <f t="shared" si="364"/>
        <v>NON</v>
      </c>
      <c r="G2474" t="str">
        <f t="shared" si="364"/>
        <v>NON</v>
      </c>
      <c r="H2474" t="str">
        <f t="shared" si="364"/>
        <v>NON</v>
      </c>
      <c r="I2474" t="str">
        <f t="shared" si="364"/>
        <v>NON</v>
      </c>
      <c r="J2474" t="str">
        <f t="shared" si="364"/>
        <v>NON</v>
      </c>
      <c r="K2474" t="str">
        <f t="shared" si="364"/>
        <v>NON</v>
      </c>
      <c r="L2474" t="str">
        <f t="shared" si="364"/>
        <v>NON</v>
      </c>
      <c r="M2474" t="str">
        <f t="shared" si="364"/>
        <v>NON</v>
      </c>
      <c r="N2474" t="str">
        <f t="shared" si="364"/>
        <v>NON</v>
      </c>
      <c r="O2474" t="str">
        <f t="shared" si="364"/>
        <v>NON</v>
      </c>
      <c r="P2474" t="str">
        <f t="shared" si="364"/>
        <v>NON</v>
      </c>
      <c r="Q2474" t="str">
        <f t="shared" si="364"/>
        <v>NON</v>
      </c>
    </row>
    <row r="2475" spans="1:17">
      <c r="A2475" t="s">
        <v>127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</row>
    <row r="2477" spans="1:17">
      <c r="B2477" t="s">
        <v>3198</v>
      </c>
      <c r="C2477">
        <v>3</v>
      </c>
      <c r="D2477">
        <v>16</v>
      </c>
      <c r="E2477">
        <v>1</v>
      </c>
    </row>
    <row r="2478" spans="1:17">
      <c r="B2478" t="s">
        <v>3167</v>
      </c>
      <c r="C2478" t="s">
        <v>3168</v>
      </c>
      <c r="D2478" t="s">
        <v>3169</v>
      </c>
      <c r="E2478" t="s">
        <v>3170</v>
      </c>
      <c r="F2478" t="s">
        <v>3171</v>
      </c>
      <c r="G2478" t="s">
        <v>3172</v>
      </c>
      <c r="H2478" t="s">
        <v>3173</v>
      </c>
      <c r="I2478" t="s">
        <v>3174</v>
      </c>
      <c r="J2478" t="s">
        <v>3175</v>
      </c>
      <c r="K2478" t="s">
        <v>3176</v>
      </c>
      <c r="L2478" t="s">
        <v>3177</v>
      </c>
      <c r="M2478" t="s">
        <v>3178</v>
      </c>
      <c r="N2478" t="s">
        <v>3179</v>
      </c>
      <c r="O2478" t="s">
        <v>3180</v>
      </c>
      <c r="P2478" t="s">
        <v>3181</v>
      </c>
      <c r="Q2478" t="s">
        <v>3182</v>
      </c>
    </row>
    <row r="2479" spans="1:17">
      <c r="A2479" t="s">
        <v>3183</v>
      </c>
      <c r="B2479" t="str">
        <f t="shared" ref="B2479:Q2479" si="365">"OFF"</f>
        <v>OFF</v>
      </c>
      <c r="C2479" t="str">
        <f t="shared" si="365"/>
        <v>OFF</v>
      </c>
      <c r="D2479" t="str">
        <f t="shared" si="365"/>
        <v>OFF</v>
      </c>
      <c r="E2479" t="str">
        <f t="shared" si="365"/>
        <v>OFF</v>
      </c>
      <c r="F2479" t="str">
        <f t="shared" si="365"/>
        <v>OFF</v>
      </c>
      <c r="G2479" t="str">
        <f t="shared" si="365"/>
        <v>OFF</v>
      </c>
      <c r="H2479" t="str">
        <f t="shared" si="365"/>
        <v>OFF</v>
      </c>
      <c r="I2479" t="str">
        <f t="shared" si="365"/>
        <v>OFF</v>
      </c>
      <c r="J2479" t="str">
        <f t="shared" si="365"/>
        <v>OFF</v>
      </c>
      <c r="K2479" t="str">
        <f t="shared" si="365"/>
        <v>OFF</v>
      </c>
      <c r="L2479" t="str">
        <f t="shared" si="365"/>
        <v>OFF</v>
      </c>
      <c r="M2479" t="str">
        <f t="shared" si="365"/>
        <v>OFF</v>
      </c>
      <c r="N2479" t="str">
        <f t="shared" si="365"/>
        <v>OFF</v>
      </c>
      <c r="O2479" t="str">
        <f t="shared" si="365"/>
        <v>OFF</v>
      </c>
      <c r="P2479" t="str">
        <f t="shared" si="365"/>
        <v>OFF</v>
      </c>
      <c r="Q2479" t="str">
        <f t="shared" si="365"/>
        <v>OFF</v>
      </c>
    </row>
    <row r="2480" spans="1:17">
      <c r="A2480" t="s">
        <v>53</v>
      </c>
      <c r="B2480" t="str">
        <f t="shared" ref="B2480:Q2480" si="366">"NON"</f>
        <v>NON</v>
      </c>
      <c r="C2480" t="str">
        <f t="shared" si="366"/>
        <v>NON</v>
      </c>
      <c r="D2480" t="str">
        <f t="shared" si="366"/>
        <v>NON</v>
      </c>
      <c r="E2480" t="str">
        <f t="shared" si="366"/>
        <v>NON</v>
      </c>
      <c r="F2480" t="str">
        <f t="shared" si="366"/>
        <v>NON</v>
      </c>
      <c r="G2480" t="str">
        <f t="shared" si="366"/>
        <v>NON</v>
      </c>
      <c r="H2480" t="str">
        <f t="shared" si="366"/>
        <v>NON</v>
      </c>
      <c r="I2480" t="str">
        <f t="shared" si="366"/>
        <v>NON</v>
      </c>
      <c r="J2480" t="str">
        <f t="shared" si="366"/>
        <v>NON</v>
      </c>
      <c r="K2480" t="str">
        <f t="shared" si="366"/>
        <v>NON</v>
      </c>
      <c r="L2480" t="str">
        <f t="shared" si="366"/>
        <v>NON</v>
      </c>
      <c r="M2480" t="str">
        <f t="shared" si="366"/>
        <v>NON</v>
      </c>
      <c r="N2480" t="str">
        <f t="shared" si="366"/>
        <v>NON</v>
      </c>
      <c r="O2480" t="str">
        <f t="shared" si="366"/>
        <v>NON</v>
      </c>
      <c r="P2480" t="str">
        <f t="shared" si="366"/>
        <v>NON</v>
      </c>
      <c r="Q2480" t="str">
        <f t="shared" si="366"/>
        <v>NON</v>
      </c>
    </row>
    <row r="2481" spans="1:17">
      <c r="A2481" t="s">
        <v>127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</row>
    <row r="2483" spans="1:17">
      <c r="B2483" t="s">
        <v>3199</v>
      </c>
      <c r="C2483">
        <v>3</v>
      </c>
      <c r="D2483">
        <v>16</v>
      </c>
      <c r="E2483">
        <v>1</v>
      </c>
    </row>
    <row r="2484" spans="1:17">
      <c r="B2484" t="s">
        <v>3167</v>
      </c>
      <c r="C2484" t="s">
        <v>3168</v>
      </c>
      <c r="D2484" t="s">
        <v>3169</v>
      </c>
      <c r="E2484" t="s">
        <v>3170</v>
      </c>
      <c r="F2484" t="s">
        <v>3171</v>
      </c>
      <c r="G2484" t="s">
        <v>3172</v>
      </c>
      <c r="H2484" t="s">
        <v>3173</v>
      </c>
      <c r="I2484" t="s">
        <v>3174</v>
      </c>
      <c r="J2484" t="s">
        <v>3175</v>
      </c>
      <c r="K2484" t="s">
        <v>3176</v>
      </c>
      <c r="L2484" t="s">
        <v>3177</v>
      </c>
      <c r="M2484" t="s">
        <v>3178</v>
      </c>
      <c r="N2484" t="s">
        <v>3179</v>
      </c>
      <c r="O2484" t="s">
        <v>3180</v>
      </c>
      <c r="P2484" t="s">
        <v>3181</v>
      </c>
      <c r="Q2484" t="s">
        <v>3182</v>
      </c>
    </row>
    <row r="2485" spans="1:17">
      <c r="A2485" t="s">
        <v>3183</v>
      </c>
      <c r="B2485" t="str">
        <f t="shared" ref="B2485:Q2485" si="367">"OFF"</f>
        <v>OFF</v>
      </c>
      <c r="C2485" t="str">
        <f t="shared" si="367"/>
        <v>OFF</v>
      </c>
      <c r="D2485" t="str">
        <f t="shared" si="367"/>
        <v>OFF</v>
      </c>
      <c r="E2485" t="str">
        <f t="shared" si="367"/>
        <v>OFF</v>
      </c>
      <c r="F2485" t="str">
        <f t="shared" si="367"/>
        <v>OFF</v>
      </c>
      <c r="G2485" t="str">
        <f t="shared" si="367"/>
        <v>OFF</v>
      </c>
      <c r="H2485" t="str">
        <f t="shared" si="367"/>
        <v>OFF</v>
      </c>
      <c r="I2485" t="str">
        <f t="shared" si="367"/>
        <v>OFF</v>
      </c>
      <c r="J2485" t="str">
        <f t="shared" si="367"/>
        <v>OFF</v>
      </c>
      <c r="K2485" t="str">
        <f t="shared" si="367"/>
        <v>OFF</v>
      </c>
      <c r="L2485" t="str">
        <f t="shared" si="367"/>
        <v>OFF</v>
      </c>
      <c r="M2485" t="str">
        <f t="shared" si="367"/>
        <v>OFF</v>
      </c>
      <c r="N2485" t="str">
        <f t="shared" si="367"/>
        <v>OFF</v>
      </c>
      <c r="O2485" t="str">
        <f t="shared" si="367"/>
        <v>OFF</v>
      </c>
      <c r="P2485" t="str">
        <f t="shared" si="367"/>
        <v>OFF</v>
      </c>
      <c r="Q2485" t="str">
        <f t="shared" si="367"/>
        <v>OFF</v>
      </c>
    </row>
    <row r="2486" spans="1:17">
      <c r="A2486" t="s">
        <v>53</v>
      </c>
      <c r="B2486" t="str">
        <f t="shared" ref="B2486:Q2486" si="368">"NON"</f>
        <v>NON</v>
      </c>
      <c r="C2486" t="str">
        <f t="shared" si="368"/>
        <v>NON</v>
      </c>
      <c r="D2486" t="str">
        <f t="shared" si="368"/>
        <v>NON</v>
      </c>
      <c r="E2486" t="str">
        <f t="shared" si="368"/>
        <v>NON</v>
      </c>
      <c r="F2486" t="str">
        <f t="shared" si="368"/>
        <v>NON</v>
      </c>
      <c r="G2486" t="str">
        <f t="shared" si="368"/>
        <v>NON</v>
      </c>
      <c r="H2486" t="str">
        <f t="shared" si="368"/>
        <v>NON</v>
      </c>
      <c r="I2486" t="str">
        <f t="shared" si="368"/>
        <v>NON</v>
      </c>
      <c r="J2486" t="str">
        <f t="shared" si="368"/>
        <v>NON</v>
      </c>
      <c r="K2486" t="str">
        <f t="shared" si="368"/>
        <v>NON</v>
      </c>
      <c r="L2486" t="str">
        <f t="shared" si="368"/>
        <v>NON</v>
      </c>
      <c r="M2486" t="str">
        <f t="shared" si="368"/>
        <v>NON</v>
      </c>
      <c r="N2486" t="str">
        <f t="shared" si="368"/>
        <v>NON</v>
      </c>
      <c r="O2486" t="str">
        <f t="shared" si="368"/>
        <v>NON</v>
      </c>
      <c r="P2486" t="str">
        <f t="shared" si="368"/>
        <v>NON</v>
      </c>
      <c r="Q2486" t="str">
        <f t="shared" si="368"/>
        <v>NON</v>
      </c>
    </row>
    <row r="2487" spans="1:17">
      <c r="A2487" t="s">
        <v>127</v>
      </c>
      <c r="B2487">
        <v>0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</row>
    <row r="2489" spans="1:17">
      <c r="B2489" t="s">
        <v>3200</v>
      </c>
      <c r="C2489">
        <v>3</v>
      </c>
      <c r="D2489">
        <v>16</v>
      </c>
      <c r="E2489">
        <v>1</v>
      </c>
    </row>
    <row r="2490" spans="1:17">
      <c r="B2490" t="s">
        <v>3167</v>
      </c>
      <c r="C2490" t="s">
        <v>3168</v>
      </c>
      <c r="D2490" t="s">
        <v>3169</v>
      </c>
      <c r="E2490" t="s">
        <v>3170</v>
      </c>
      <c r="F2490" t="s">
        <v>3171</v>
      </c>
      <c r="G2490" t="s">
        <v>3172</v>
      </c>
      <c r="H2490" t="s">
        <v>3173</v>
      </c>
      <c r="I2490" t="s">
        <v>3174</v>
      </c>
      <c r="J2490" t="s">
        <v>3175</v>
      </c>
      <c r="K2490" t="s">
        <v>3176</v>
      </c>
      <c r="L2490" t="s">
        <v>3177</v>
      </c>
      <c r="M2490" t="s">
        <v>3178</v>
      </c>
      <c r="N2490" t="s">
        <v>3179</v>
      </c>
      <c r="O2490" t="s">
        <v>3180</v>
      </c>
      <c r="P2490" t="s">
        <v>3181</v>
      </c>
      <c r="Q2490" t="s">
        <v>3182</v>
      </c>
    </row>
    <row r="2491" spans="1:17">
      <c r="A2491" t="s">
        <v>3183</v>
      </c>
      <c r="B2491" t="str">
        <f t="shared" ref="B2491:Q2491" si="369">"OFF"</f>
        <v>OFF</v>
      </c>
      <c r="C2491" t="str">
        <f t="shared" si="369"/>
        <v>OFF</v>
      </c>
      <c r="D2491" t="str">
        <f t="shared" si="369"/>
        <v>OFF</v>
      </c>
      <c r="E2491" t="str">
        <f t="shared" si="369"/>
        <v>OFF</v>
      </c>
      <c r="F2491" t="str">
        <f t="shared" si="369"/>
        <v>OFF</v>
      </c>
      <c r="G2491" t="str">
        <f t="shared" si="369"/>
        <v>OFF</v>
      </c>
      <c r="H2491" t="str">
        <f t="shared" si="369"/>
        <v>OFF</v>
      </c>
      <c r="I2491" t="str">
        <f t="shared" si="369"/>
        <v>OFF</v>
      </c>
      <c r="J2491" t="str">
        <f t="shared" si="369"/>
        <v>OFF</v>
      </c>
      <c r="K2491" t="str">
        <f t="shared" si="369"/>
        <v>OFF</v>
      </c>
      <c r="L2491" t="str">
        <f t="shared" si="369"/>
        <v>OFF</v>
      </c>
      <c r="M2491" t="str">
        <f t="shared" si="369"/>
        <v>OFF</v>
      </c>
      <c r="N2491" t="str">
        <f t="shared" si="369"/>
        <v>OFF</v>
      </c>
      <c r="O2491" t="str">
        <f t="shared" si="369"/>
        <v>OFF</v>
      </c>
      <c r="P2491" t="str">
        <f t="shared" si="369"/>
        <v>OFF</v>
      </c>
      <c r="Q2491" t="str">
        <f t="shared" si="369"/>
        <v>OFF</v>
      </c>
    </row>
    <row r="2492" spans="1:17">
      <c r="A2492" t="s">
        <v>53</v>
      </c>
      <c r="B2492" t="str">
        <f t="shared" ref="B2492:Q2492" si="370">"NON"</f>
        <v>NON</v>
      </c>
      <c r="C2492" t="str">
        <f t="shared" si="370"/>
        <v>NON</v>
      </c>
      <c r="D2492" t="str">
        <f t="shared" si="370"/>
        <v>NON</v>
      </c>
      <c r="E2492" t="str">
        <f t="shared" si="370"/>
        <v>NON</v>
      </c>
      <c r="F2492" t="str">
        <f t="shared" si="370"/>
        <v>NON</v>
      </c>
      <c r="G2492" t="str">
        <f t="shared" si="370"/>
        <v>NON</v>
      </c>
      <c r="H2492" t="str">
        <f t="shared" si="370"/>
        <v>NON</v>
      </c>
      <c r="I2492" t="str">
        <f t="shared" si="370"/>
        <v>NON</v>
      </c>
      <c r="J2492" t="str">
        <f t="shared" si="370"/>
        <v>NON</v>
      </c>
      <c r="K2492" t="str">
        <f t="shared" si="370"/>
        <v>NON</v>
      </c>
      <c r="L2492" t="str">
        <f t="shared" si="370"/>
        <v>NON</v>
      </c>
      <c r="M2492" t="str">
        <f t="shared" si="370"/>
        <v>NON</v>
      </c>
      <c r="N2492" t="str">
        <f t="shared" si="370"/>
        <v>NON</v>
      </c>
      <c r="O2492" t="str">
        <f t="shared" si="370"/>
        <v>NON</v>
      </c>
      <c r="P2492" t="str">
        <f t="shared" si="370"/>
        <v>NON</v>
      </c>
      <c r="Q2492" t="str">
        <f t="shared" si="370"/>
        <v>NON</v>
      </c>
    </row>
    <row r="2493" spans="1:17">
      <c r="A2493" t="s">
        <v>127</v>
      </c>
      <c r="B2493">
        <v>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</row>
    <row r="2495" spans="1:17">
      <c r="B2495" t="s">
        <v>3201</v>
      </c>
      <c r="C2495">
        <v>3</v>
      </c>
      <c r="D2495">
        <v>16</v>
      </c>
      <c r="E2495">
        <v>1</v>
      </c>
    </row>
    <row r="2496" spans="1:17">
      <c r="B2496" t="s">
        <v>3167</v>
      </c>
      <c r="C2496" t="s">
        <v>3168</v>
      </c>
      <c r="D2496" t="s">
        <v>3169</v>
      </c>
      <c r="E2496" t="s">
        <v>3170</v>
      </c>
      <c r="F2496" t="s">
        <v>3171</v>
      </c>
      <c r="G2496" t="s">
        <v>3172</v>
      </c>
      <c r="H2496" t="s">
        <v>3173</v>
      </c>
      <c r="I2496" t="s">
        <v>3174</v>
      </c>
      <c r="J2496" t="s">
        <v>3175</v>
      </c>
      <c r="K2496" t="s">
        <v>3176</v>
      </c>
      <c r="L2496" t="s">
        <v>3177</v>
      </c>
      <c r="M2496" t="s">
        <v>3178</v>
      </c>
      <c r="N2496" t="s">
        <v>3179</v>
      </c>
      <c r="O2496" t="s">
        <v>3180</v>
      </c>
      <c r="P2496" t="s">
        <v>3181</v>
      </c>
      <c r="Q2496" t="s">
        <v>3182</v>
      </c>
    </row>
    <row r="2497" spans="1:17">
      <c r="A2497" t="s">
        <v>3183</v>
      </c>
      <c r="B2497" t="str">
        <f t="shared" ref="B2497:Q2497" si="371">"OFF"</f>
        <v>OFF</v>
      </c>
      <c r="C2497" t="str">
        <f t="shared" si="371"/>
        <v>OFF</v>
      </c>
      <c r="D2497" t="str">
        <f t="shared" si="371"/>
        <v>OFF</v>
      </c>
      <c r="E2497" t="str">
        <f t="shared" si="371"/>
        <v>OFF</v>
      </c>
      <c r="F2497" t="str">
        <f t="shared" si="371"/>
        <v>OFF</v>
      </c>
      <c r="G2497" t="str">
        <f t="shared" si="371"/>
        <v>OFF</v>
      </c>
      <c r="H2497" t="str">
        <f t="shared" si="371"/>
        <v>OFF</v>
      </c>
      <c r="I2497" t="str">
        <f t="shared" si="371"/>
        <v>OFF</v>
      </c>
      <c r="J2497" t="str">
        <f t="shared" si="371"/>
        <v>OFF</v>
      </c>
      <c r="K2497" t="str">
        <f t="shared" si="371"/>
        <v>OFF</v>
      </c>
      <c r="L2497" t="str">
        <f t="shared" si="371"/>
        <v>OFF</v>
      </c>
      <c r="M2497" t="str">
        <f t="shared" si="371"/>
        <v>OFF</v>
      </c>
      <c r="N2497" t="str">
        <f t="shared" si="371"/>
        <v>OFF</v>
      </c>
      <c r="O2497" t="str">
        <f t="shared" si="371"/>
        <v>OFF</v>
      </c>
      <c r="P2497" t="str">
        <f t="shared" si="371"/>
        <v>OFF</v>
      </c>
      <c r="Q2497" t="str">
        <f t="shared" si="371"/>
        <v>OFF</v>
      </c>
    </row>
    <row r="2498" spans="1:17">
      <c r="A2498" t="s">
        <v>53</v>
      </c>
      <c r="B2498" t="str">
        <f t="shared" ref="B2498:Q2498" si="372">"NON"</f>
        <v>NON</v>
      </c>
      <c r="C2498" t="str">
        <f t="shared" si="372"/>
        <v>NON</v>
      </c>
      <c r="D2498" t="str">
        <f t="shared" si="372"/>
        <v>NON</v>
      </c>
      <c r="E2498" t="str">
        <f t="shared" si="372"/>
        <v>NON</v>
      </c>
      <c r="F2498" t="str">
        <f t="shared" si="372"/>
        <v>NON</v>
      </c>
      <c r="G2498" t="str">
        <f t="shared" si="372"/>
        <v>NON</v>
      </c>
      <c r="H2498" t="str">
        <f t="shared" si="372"/>
        <v>NON</v>
      </c>
      <c r="I2498" t="str">
        <f t="shared" si="372"/>
        <v>NON</v>
      </c>
      <c r="J2498" t="str">
        <f t="shared" si="372"/>
        <v>NON</v>
      </c>
      <c r="K2498" t="str">
        <f t="shared" si="372"/>
        <v>NON</v>
      </c>
      <c r="L2498" t="str">
        <f t="shared" si="372"/>
        <v>NON</v>
      </c>
      <c r="M2498" t="str">
        <f t="shared" si="372"/>
        <v>NON</v>
      </c>
      <c r="N2498" t="str">
        <f t="shared" si="372"/>
        <v>NON</v>
      </c>
      <c r="O2498" t="str">
        <f t="shared" si="372"/>
        <v>NON</v>
      </c>
      <c r="P2498" t="str">
        <f t="shared" si="372"/>
        <v>NON</v>
      </c>
      <c r="Q2498" t="str">
        <f t="shared" si="372"/>
        <v>NON</v>
      </c>
    </row>
    <row r="2499" spans="1:17">
      <c r="A2499" t="s">
        <v>127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</row>
    <row r="2501" spans="1:17">
      <c r="B2501" t="s">
        <v>3202</v>
      </c>
      <c r="C2501">
        <v>3</v>
      </c>
      <c r="D2501">
        <v>16</v>
      </c>
      <c r="E2501">
        <v>1</v>
      </c>
    </row>
    <row r="2502" spans="1:17">
      <c r="B2502" t="s">
        <v>3167</v>
      </c>
      <c r="C2502" t="s">
        <v>3168</v>
      </c>
      <c r="D2502" t="s">
        <v>3169</v>
      </c>
      <c r="E2502" t="s">
        <v>3170</v>
      </c>
      <c r="F2502" t="s">
        <v>3171</v>
      </c>
      <c r="G2502" t="s">
        <v>3172</v>
      </c>
      <c r="H2502" t="s">
        <v>3173</v>
      </c>
      <c r="I2502" t="s">
        <v>3174</v>
      </c>
      <c r="J2502" t="s">
        <v>3175</v>
      </c>
      <c r="K2502" t="s">
        <v>3176</v>
      </c>
      <c r="L2502" t="s">
        <v>3177</v>
      </c>
      <c r="M2502" t="s">
        <v>3178</v>
      </c>
      <c r="N2502" t="s">
        <v>3179</v>
      </c>
      <c r="O2502" t="s">
        <v>3180</v>
      </c>
      <c r="P2502" t="s">
        <v>3181</v>
      </c>
      <c r="Q2502" t="s">
        <v>3182</v>
      </c>
    </row>
    <row r="2503" spans="1:17">
      <c r="A2503" t="s">
        <v>3183</v>
      </c>
      <c r="B2503" t="str">
        <f t="shared" ref="B2503:Q2503" si="373">"OFF"</f>
        <v>OFF</v>
      </c>
      <c r="C2503" t="str">
        <f t="shared" si="373"/>
        <v>OFF</v>
      </c>
      <c r="D2503" t="str">
        <f t="shared" si="373"/>
        <v>OFF</v>
      </c>
      <c r="E2503" t="str">
        <f t="shared" si="373"/>
        <v>OFF</v>
      </c>
      <c r="F2503" t="str">
        <f t="shared" si="373"/>
        <v>OFF</v>
      </c>
      <c r="G2503" t="str">
        <f t="shared" si="373"/>
        <v>OFF</v>
      </c>
      <c r="H2503" t="str">
        <f t="shared" si="373"/>
        <v>OFF</v>
      </c>
      <c r="I2503" t="str">
        <f t="shared" si="373"/>
        <v>OFF</v>
      </c>
      <c r="J2503" t="str">
        <f t="shared" si="373"/>
        <v>OFF</v>
      </c>
      <c r="K2503" t="str">
        <f t="shared" si="373"/>
        <v>OFF</v>
      </c>
      <c r="L2503" t="str">
        <f t="shared" si="373"/>
        <v>OFF</v>
      </c>
      <c r="M2503" t="str">
        <f t="shared" si="373"/>
        <v>OFF</v>
      </c>
      <c r="N2503" t="str">
        <f t="shared" si="373"/>
        <v>OFF</v>
      </c>
      <c r="O2503" t="str">
        <f t="shared" si="373"/>
        <v>OFF</v>
      </c>
      <c r="P2503" t="str">
        <f t="shared" si="373"/>
        <v>OFF</v>
      </c>
      <c r="Q2503" t="str">
        <f t="shared" si="373"/>
        <v>OFF</v>
      </c>
    </row>
    <row r="2504" spans="1:17">
      <c r="A2504" t="s">
        <v>53</v>
      </c>
      <c r="B2504" t="str">
        <f t="shared" ref="B2504:Q2504" si="374">"NON"</f>
        <v>NON</v>
      </c>
      <c r="C2504" t="str">
        <f t="shared" si="374"/>
        <v>NON</v>
      </c>
      <c r="D2504" t="str">
        <f t="shared" si="374"/>
        <v>NON</v>
      </c>
      <c r="E2504" t="str">
        <f t="shared" si="374"/>
        <v>NON</v>
      </c>
      <c r="F2504" t="str">
        <f t="shared" si="374"/>
        <v>NON</v>
      </c>
      <c r="G2504" t="str">
        <f t="shared" si="374"/>
        <v>NON</v>
      </c>
      <c r="H2504" t="str">
        <f t="shared" si="374"/>
        <v>NON</v>
      </c>
      <c r="I2504" t="str">
        <f t="shared" si="374"/>
        <v>NON</v>
      </c>
      <c r="J2504" t="str">
        <f t="shared" si="374"/>
        <v>NON</v>
      </c>
      <c r="K2504" t="str">
        <f t="shared" si="374"/>
        <v>NON</v>
      </c>
      <c r="L2504" t="str">
        <f t="shared" si="374"/>
        <v>NON</v>
      </c>
      <c r="M2504" t="str">
        <f t="shared" si="374"/>
        <v>NON</v>
      </c>
      <c r="N2504" t="str">
        <f t="shared" si="374"/>
        <v>NON</v>
      </c>
      <c r="O2504" t="str">
        <f t="shared" si="374"/>
        <v>NON</v>
      </c>
      <c r="P2504" t="str">
        <f t="shared" si="374"/>
        <v>NON</v>
      </c>
      <c r="Q2504" t="str">
        <f t="shared" si="374"/>
        <v>NON</v>
      </c>
    </row>
    <row r="2505" spans="1:17">
      <c r="A2505" t="s">
        <v>127</v>
      </c>
      <c r="B2505">
        <v>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</row>
    <row r="2507" spans="1:17">
      <c r="B2507" t="s">
        <v>3203</v>
      </c>
      <c r="C2507">
        <v>3</v>
      </c>
      <c r="D2507">
        <v>16</v>
      </c>
      <c r="E2507">
        <v>1</v>
      </c>
    </row>
    <row r="2508" spans="1:17">
      <c r="B2508" t="s">
        <v>3167</v>
      </c>
      <c r="C2508" t="s">
        <v>3168</v>
      </c>
      <c r="D2508" t="s">
        <v>3169</v>
      </c>
      <c r="E2508" t="s">
        <v>3170</v>
      </c>
      <c r="F2508" t="s">
        <v>3171</v>
      </c>
      <c r="G2508" t="s">
        <v>3172</v>
      </c>
      <c r="H2508" t="s">
        <v>3173</v>
      </c>
      <c r="I2508" t="s">
        <v>3174</v>
      </c>
      <c r="J2508" t="s">
        <v>3175</v>
      </c>
      <c r="K2508" t="s">
        <v>3176</v>
      </c>
      <c r="L2508" t="s">
        <v>3177</v>
      </c>
      <c r="M2508" t="s">
        <v>3178</v>
      </c>
      <c r="N2508" t="s">
        <v>3179</v>
      </c>
      <c r="O2508" t="s">
        <v>3180</v>
      </c>
      <c r="P2508" t="s">
        <v>3181</v>
      </c>
      <c r="Q2508" t="s">
        <v>3182</v>
      </c>
    </row>
    <row r="2509" spans="1:17">
      <c r="A2509" t="s">
        <v>3183</v>
      </c>
      <c r="B2509" t="str">
        <f t="shared" ref="B2509:Q2509" si="375">"OFF"</f>
        <v>OFF</v>
      </c>
      <c r="C2509" t="str">
        <f t="shared" si="375"/>
        <v>OFF</v>
      </c>
      <c r="D2509" t="str">
        <f t="shared" si="375"/>
        <v>OFF</v>
      </c>
      <c r="E2509" t="str">
        <f t="shared" si="375"/>
        <v>OFF</v>
      </c>
      <c r="F2509" t="str">
        <f t="shared" si="375"/>
        <v>OFF</v>
      </c>
      <c r="G2509" t="str">
        <f t="shared" si="375"/>
        <v>OFF</v>
      </c>
      <c r="H2509" t="str">
        <f t="shared" si="375"/>
        <v>OFF</v>
      </c>
      <c r="I2509" t="str">
        <f t="shared" si="375"/>
        <v>OFF</v>
      </c>
      <c r="J2509" t="str">
        <f t="shared" si="375"/>
        <v>OFF</v>
      </c>
      <c r="K2509" t="str">
        <f t="shared" si="375"/>
        <v>OFF</v>
      </c>
      <c r="L2509" t="str">
        <f t="shared" si="375"/>
        <v>OFF</v>
      </c>
      <c r="M2509" t="str">
        <f t="shared" si="375"/>
        <v>OFF</v>
      </c>
      <c r="N2509" t="str">
        <f t="shared" si="375"/>
        <v>OFF</v>
      </c>
      <c r="O2509" t="str">
        <f t="shared" si="375"/>
        <v>OFF</v>
      </c>
      <c r="P2509" t="str">
        <f t="shared" si="375"/>
        <v>OFF</v>
      </c>
      <c r="Q2509" t="str">
        <f t="shared" si="375"/>
        <v>OFF</v>
      </c>
    </row>
    <row r="2510" spans="1:17">
      <c r="A2510" t="s">
        <v>53</v>
      </c>
      <c r="B2510" t="str">
        <f t="shared" ref="B2510:Q2510" si="376">"NON"</f>
        <v>NON</v>
      </c>
      <c r="C2510" t="str">
        <f t="shared" si="376"/>
        <v>NON</v>
      </c>
      <c r="D2510" t="str">
        <f t="shared" si="376"/>
        <v>NON</v>
      </c>
      <c r="E2510" t="str">
        <f t="shared" si="376"/>
        <v>NON</v>
      </c>
      <c r="F2510" t="str">
        <f t="shared" si="376"/>
        <v>NON</v>
      </c>
      <c r="G2510" t="str">
        <f t="shared" si="376"/>
        <v>NON</v>
      </c>
      <c r="H2510" t="str">
        <f t="shared" si="376"/>
        <v>NON</v>
      </c>
      <c r="I2510" t="str">
        <f t="shared" si="376"/>
        <v>NON</v>
      </c>
      <c r="J2510" t="str">
        <f t="shared" si="376"/>
        <v>NON</v>
      </c>
      <c r="K2510" t="str">
        <f t="shared" si="376"/>
        <v>NON</v>
      </c>
      <c r="L2510" t="str">
        <f t="shared" si="376"/>
        <v>NON</v>
      </c>
      <c r="M2510" t="str">
        <f t="shared" si="376"/>
        <v>NON</v>
      </c>
      <c r="N2510" t="str">
        <f t="shared" si="376"/>
        <v>NON</v>
      </c>
      <c r="O2510" t="str">
        <f t="shared" si="376"/>
        <v>NON</v>
      </c>
      <c r="P2510" t="str">
        <f t="shared" si="376"/>
        <v>NON</v>
      </c>
      <c r="Q2510" t="str">
        <f t="shared" si="376"/>
        <v>NON</v>
      </c>
    </row>
    <row r="2511" spans="1:17">
      <c r="A2511" t="s">
        <v>127</v>
      </c>
      <c r="B2511">
        <v>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</row>
    <row r="2513" spans="1:17">
      <c r="B2513" t="s">
        <v>3204</v>
      </c>
      <c r="C2513">
        <v>3</v>
      </c>
      <c r="D2513">
        <v>16</v>
      </c>
      <c r="E2513">
        <v>1</v>
      </c>
    </row>
    <row r="2514" spans="1:17">
      <c r="B2514" t="s">
        <v>3167</v>
      </c>
      <c r="C2514" t="s">
        <v>3168</v>
      </c>
      <c r="D2514" t="s">
        <v>3169</v>
      </c>
      <c r="E2514" t="s">
        <v>3170</v>
      </c>
      <c r="F2514" t="s">
        <v>3171</v>
      </c>
      <c r="G2514" t="s">
        <v>3172</v>
      </c>
      <c r="H2514" t="s">
        <v>3173</v>
      </c>
      <c r="I2514" t="s">
        <v>3174</v>
      </c>
      <c r="J2514" t="s">
        <v>3175</v>
      </c>
      <c r="K2514" t="s">
        <v>3176</v>
      </c>
      <c r="L2514" t="s">
        <v>3177</v>
      </c>
      <c r="M2514" t="s">
        <v>3178</v>
      </c>
      <c r="N2514" t="s">
        <v>3179</v>
      </c>
      <c r="O2514" t="s">
        <v>3180</v>
      </c>
      <c r="P2514" t="s">
        <v>3181</v>
      </c>
      <c r="Q2514" t="s">
        <v>3182</v>
      </c>
    </row>
    <row r="2515" spans="1:17">
      <c r="A2515" t="s">
        <v>3183</v>
      </c>
      <c r="B2515" t="str">
        <f t="shared" ref="B2515:Q2515" si="377">"OFF"</f>
        <v>OFF</v>
      </c>
      <c r="C2515" t="str">
        <f t="shared" si="377"/>
        <v>OFF</v>
      </c>
      <c r="D2515" t="str">
        <f t="shared" si="377"/>
        <v>OFF</v>
      </c>
      <c r="E2515" t="str">
        <f t="shared" si="377"/>
        <v>OFF</v>
      </c>
      <c r="F2515" t="str">
        <f t="shared" si="377"/>
        <v>OFF</v>
      </c>
      <c r="G2515" t="str">
        <f t="shared" si="377"/>
        <v>OFF</v>
      </c>
      <c r="H2515" t="str">
        <f t="shared" si="377"/>
        <v>OFF</v>
      </c>
      <c r="I2515" t="str">
        <f t="shared" si="377"/>
        <v>OFF</v>
      </c>
      <c r="J2515" t="str">
        <f t="shared" si="377"/>
        <v>OFF</v>
      </c>
      <c r="K2515" t="str">
        <f t="shared" si="377"/>
        <v>OFF</v>
      </c>
      <c r="L2515" t="str">
        <f t="shared" si="377"/>
        <v>OFF</v>
      </c>
      <c r="M2515" t="str">
        <f t="shared" si="377"/>
        <v>OFF</v>
      </c>
      <c r="N2515" t="str">
        <f t="shared" si="377"/>
        <v>OFF</v>
      </c>
      <c r="O2515" t="str">
        <f t="shared" si="377"/>
        <v>OFF</v>
      </c>
      <c r="P2515" t="str">
        <f t="shared" si="377"/>
        <v>OFF</v>
      </c>
      <c r="Q2515" t="str">
        <f t="shared" si="377"/>
        <v>OFF</v>
      </c>
    </row>
    <row r="2516" spans="1:17">
      <c r="A2516" t="s">
        <v>53</v>
      </c>
      <c r="B2516" t="str">
        <f t="shared" ref="B2516:Q2516" si="378">"NON"</f>
        <v>NON</v>
      </c>
      <c r="C2516" t="str">
        <f t="shared" si="378"/>
        <v>NON</v>
      </c>
      <c r="D2516" t="str">
        <f t="shared" si="378"/>
        <v>NON</v>
      </c>
      <c r="E2516" t="str">
        <f t="shared" si="378"/>
        <v>NON</v>
      </c>
      <c r="F2516" t="str">
        <f t="shared" si="378"/>
        <v>NON</v>
      </c>
      <c r="G2516" t="str">
        <f t="shared" si="378"/>
        <v>NON</v>
      </c>
      <c r="H2516" t="str">
        <f t="shared" si="378"/>
        <v>NON</v>
      </c>
      <c r="I2516" t="str">
        <f t="shared" si="378"/>
        <v>NON</v>
      </c>
      <c r="J2516" t="str">
        <f t="shared" si="378"/>
        <v>NON</v>
      </c>
      <c r="K2516" t="str">
        <f t="shared" si="378"/>
        <v>NON</v>
      </c>
      <c r="L2516" t="str">
        <f t="shared" si="378"/>
        <v>NON</v>
      </c>
      <c r="M2516" t="str">
        <f t="shared" si="378"/>
        <v>NON</v>
      </c>
      <c r="N2516" t="str">
        <f t="shared" si="378"/>
        <v>NON</v>
      </c>
      <c r="O2516" t="str">
        <f t="shared" si="378"/>
        <v>NON</v>
      </c>
      <c r="P2516" t="str">
        <f t="shared" si="378"/>
        <v>NON</v>
      </c>
      <c r="Q2516" t="str">
        <f t="shared" si="378"/>
        <v>NON</v>
      </c>
    </row>
    <row r="2517" spans="1:17">
      <c r="A2517" t="s">
        <v>127</v>
      </c>
      <c r="B2517">
        <v>0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</row>
    <row r="2519" spans="1:17">
      <c r="B2519" t="s">
        <v>3205</v>
      </c>
      <c r="C2519">
        <v>3</v>
      </c>
      <c r="D2519">
        <v>16</v>
      </c>
      <c r="E2519">
        <v>1</v>
      </c>
    </row>
    <row r="2520" spans="1:17">
      <c r="B2520" t="s">
        <v>3167</v>
      </c>
      <c r="C2520" t="s">
        <v>3168</v>
      </c>
      <c r="D2520" t="s">
        <v>3169</v>
      </c>
      <c r="E2520" t="s">
        <v>3170</v>
      </c>
      <c r="F2520" t="s">
        <v>3171</v>
      </c>
      <c r="G2520" t="s">
        <v>3172</v>
      </c>
      <c r="H2520" t="s">
        <v>3173</v>
      </c>
      <c r="I2520" t="s">
        <v>3174</v>
      </c>
      <c r="J2520" t="s">
        <v>3175</v>
      </c>
      <c r="K2520" t="s">
        <v>3176</v>
      </c>
      <c r="L2520" t="s">
        <v>3177</v>
      </c>
      <c r="M2520" t="s">
        <v>3178</v>
      </c>
      <c r="N2520" t="s">
        <v>3179</v>
      </c>
      <c r="O2520" t="s">
        <v>3180</v>
      </c>
      <c r="P2520" t="s">
        <v>3181</v>
      </c>
      <c r="Q2520" t="s">
        <v>3182</v>
      </c>
    </row>
    <row r="2521" spans="1:17">
      <c r="A2521" t="s">
        <v>3183</v>
      </c>
      <c r="B2521" t="str">
        <f t="shared" ref="B2521:Q2521" si="379">"OFF"</f>
        <v>OFF</v>
      </c>
      <c r="C2521" t="str">
        <f t="shared" si="379"/>
        <v>OFF</v>
      </c>
      <c r="D2521" t="str">
        <f t="shared" si="379"/>
        <v>OFF</v>
      </c>
      <c r="E2521" t="str">
        <f t="shared" si="379"/>
        <v>OFF</v>
      </c>
      <c r="F2521" t="str">
        <f t="shared" si="379"/>
        <v>OFF</v>
      </c>
      <c r="G2521" t="str">
        <f t="shared" si="379"/>
        <v>OFF</v>
      </c>
      <c r="H2521" t="str">
        <f t="shared" si="379"/>
        <v>OFF</v>
      </c>
      <c r="I2521" t="str">
        <f t="shared" si="379"/>
        <v>OFF</v>
      </c>
      <c r="J2521" t="str">
        <f t="shared" si="379"/>
        <v>OFF</v>
      </c>
      <c r="K2521" t="str">
        <f t="shared" si="379"/>
        <v>OFF</v>
      </c>
      <c r="L2521" t="str">
        <f t="shared" si="379"/>
        <v>OFF</v>
      </c>
      <c r="M2521" t="str">
        <f t="shared" si="379"/>
        <v>OFF</v>
      </c>
      <c r="N2521" t="str">
        <f t="shared" si="379"/>
        <v>OFF</v>
      </c>
      <c r="O2521" t="str">
        <f t="shared" si="379"/>
        <v>OFF</v>
      </c>
      <c r="P2521" t="str">
        <f t="shared" si="379"/>
        <v>OFF</v>
      </c>
      <c r="Q2521" t="str">
        <f t="shared" si="379"/>
        <v>OFF</v>
      </c>
    </row>
    <row r="2522" spans="1:17">
      <c r="A2522" t="s">
        <v>53</v>
      </c>
      <c r="B2522" t="str">
        <f t="shared" ref="B2522:Q2522" si="380">"NON"</f>
        <v>NON</v>
      </c>
      <c r="C2522" t="str">
        <f t="shared" si="380"/>
        <v>NON</v>
      </c>
      <c r="D2522" t="str">
        <f t="shared" si="380"/>
        <v>NON</v>
      </c>
      <c r="E2522" t="str">
        <f t="shared" si="380"/>
        <v>NON</v>
      </c>
      <c r="F2522" t="str">
        <f t="shared" si="380"/>
        <v>NON</v>
      </c>
      <c r="G2522" t="str">
        <f t="shared" si="380"/>
        <v>NON</v>
      </c>
      <c r="H2522" t="str">
        <f t="shared" si="380"/>
        <v>NON</v>
      </c>
      <c r="I2522" t="str">
        <f t="shared" si="380"/>
        <v>NON</v>
      </c>
      <c r="J2522" t="str">
        <f t="shared" si="380"/>
        <v>NON</v>
      </c>
      <c r="K2522" t="str">
        <f t="shared" si="380"/>
        <v>NON</v>
      </c>
      <c r="L2522" t="str">
        <f t="shared" si="380"/>
        <v>NON</v>
      </c>
      <c r="M2522" t="str">
        <f t="shared" si="380"/>
        <v>NON</v>
      </c>
      <c r="N2522" t="str">
        <f t="shared" si="380"/>
        <v>NON</v>
      </c>
      <c r="O2522" t="str">
        <f t="shared" si="380"/>
        <v>NON</v>
      </c>
      <c r="P2522" t="str">
        <f t="shared" si="380"/>
        <v>NON</v>
      </c>
      <c r="Q2522" t="str">
        <f t="shared" si="380"/>
        <v>NON</v>
      </c>
    </row>
    <row r="2523" spans="1:17">
      <c r="A2523" t="s">
        <v>127</v>
      </c>
      <c r="B2523">
        <v>0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</row>
    <row r="2525" spans="1:17">
      <c r="B2525" t="s">
        <v>3206</v>
      </c>
      <c r="C2525">
        <v>3</v>
      </c>
      <c r="D2525">
        <v>16</v>
      </c>
      <c r="E2525">
        <v>1</v>
      </c>
    </row>
    <row r="2526" spans="1:17">
      <c r="B2526" t="s">
        <v>3167</v>
      </c>
      <c r="C2526" t="s">
        <v>3168</v>
      </c>
      <c r="D2526" t="s">
        <v>3169</v>
      </c>
      <c r="E2526" t="s">
        <v>3170</v>
      </c>
      <c r="F2526" t="s">
        <v>3171</v>
      </c>
      <c r="G2526" t="s">
        <v>3172</v>
      </c>
      <c r="H2526" t="s">
        <v>3173</v>
      </c>
      <c r="I2526" t="s">
        <v>3174</v>
      </c>
      <c r="J2526" t="s">
        <v>3175</v>
      </c>
      <c r="K2526" t="s">
        <v>3176</v>
      </c>
      <c r="L2526" t="s">
        <v>3177</v>
      </c>
      <c r="M2526" t="s">
        <v>3178</v>
      </c>
      <c r="N2526" t="s">
        <v>3179</v>
      </c>
      <c r="O2526" t="s">
        <v>3180</v>
      </c>
      <c r="P2526" t="s">
        <v>3181</v>
      </c>
      <c r="Q2526" t="s">
        <v>3182</v>
      </c>
    </row>
    <row r="2527" spans="1:17">
      <c r="A2527" t="s">
        <v>3183</v>
      </c>
      <c r="B2527" t="str">
        <f t="shared" ref="B2527:Q2527" si="381">"OFF"</f>
        <v>OFF</v>
      </c>
      <c r="C2527" t="str">
        <f t="shared" si="381"/>
        <v>OFF</v>
      </c>
      <c r="D2527" t="str">
        <f t="shared" si="381"/>
        <v>OFF</v>
      </c>
      <c r="E2527" t="str">
        <f t="shared" si="381"/>
        <v>OFF</v>
      </c>
      <c r="F2527" t="str">
        <f t="shared" si="381"/>
        <v>OFF</v>
      </c>
      <c r="G2527" t="str">
        <f t="shared" si="381"/>
        <v>OFF</v>
      </c>
      <c r="H2527" t="str">
        <f t="shared" si="381"/>
        <v>OFF</v>
      </c>
      <c r="I2527" t="str">
        <f t="shared" si="381"/>
        <v>OFF</v>
      </c>
      <c r="J2527" t="str">
        <f t="shared" si="381"/>
        <v>OFF</v>
      </c>
      <c r="K2527" t="str">
        <f t="shared" si="381"/>
        <v>OFF</v>
      </c>
      <c r="L2527" t="str">
        <f t="shared" si="381"/>
        <v>OFF</v>
      </c>
      <c r="M2527" t="str">
        <f t="shared" si="381"/>
        <v>OFF</v>
      </c>
      <c r="N2527" t="str">
        <f t="shared" si="381"/>
        <v>OFF</v>
      </c>
      <c r="O2527" t="str">
        <f t="shared" si="381"/>
        <v>OFF</v>
      </c>
      <c r="P2527" t="str">
        <f t="shared" si="381"/>
        <v>OFF</v>
      </c>
      <c r="Q2527" t="str">
        <f t="shared" si="381"/>
        <v>OFF</v>
      </c>
    </row>
    <row r="2528" spans="1:17">
      <c r="A2528" t="s">
        <v>53</v>
      </c>
      <c r="B2528" t="str">
        <f t="shared" ref="B2528:Q2528" si="382">"NON"</f>
        <v>NON</v>
      </c>
      <c r="C2528" t="str">
        <f t="shared" si="382"/>
        <v>NON</v>
      </c>
      <c r="D2528" t="str">
        <f t="shared" si="382"/>
        <v>NON</v>
      </c>
      <c r="E2528" t="str">
        <f t="shared" si="382"/>
        <v>NON</v>
      </c>
      <c r="F2528" t="str">
        <f t="shared" si="382"/>
        <v>NON</v>
      </c>
      <c r="G2528" t="str">
        <f t="shared" si="382"/>
        <v>NON</v>
      </c>
      <c r="H2528" t="str">
        <f t="shared" si="382"/>
        <v>NON</v>
      </c>
      <c r="I2528" t="str">
        <f t="shared" si="382"/>
        <v>NON</v>
      </c>
      <c r="J2528" t="str">
        <f t="shared" si="382"/>
        <v>NON</v>
      </c>
      <c r="K2528" t="str">
        <f t="shared" si="382"/>
        <v>NON</v>
      </c>
      <c r="L2528" t="str">
        <f t="shared" si="382"/>
        <v>NON</v>
      </c>
      <c r="M2528" t="str">
        <f t="shared" si="382"/>
        <v>NON</v>
      </c>
      <c r="N2528" t="str">
        <f t="shared" si="382"/>
        <v>NON</v>
      </c>
      <c r="O2528" t="str">
        <f t="shared" si="382"/>
        <v>NON</v>
      </c>
      <c r="P2528" t="str">
        <f t="shared" si="382"/>
        <v>NON</v>
      </c>
      <c r="Q2528" t="str">
        <f t="shared" si="382"/>
        <v>NON</v>
      </c>
    </row>
    <row r="2529" spans="1:17">
      <c r="A2529" t="s">
        <v>127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</row>
    <row r="2531" spans="1:17">
      <c r="B2531" t="s">
        <v>3207</v>
      </c>
      <c r="C2531">
        <v>3</v>
      </c>
      <c r="D2531">
        <v>16</v>
      </c>
      <c r="E2531">
        <v>1</v>
      </c>
    </row>
    <row r="2532" spans="1:17">
      <c r="B2532" t="s">
        <v>3167</v>
      </c>
      <c r="C2532" t="s">
        <v>3168</v>
      </c>
      <c r="D2532" t="s">
        <v>3169</v>
      </c>
      <c r="E2532" t="s">
        <v>3170</v>
      </c>
      <c r="F2532" t="s">
        <v>3171</v>
      </c>
      <c r="G2532" t="s">
        <v>3172</v>
      </c>
      <c r="H2532" t="s">
        <v>3173</v>
      </c>
      <c r="I2532" t="s">
        <v>3174</v>
      </c>
      <c r="J2532" t="s">
        <v>3175</v>
      </c>
      <c r="K2532" t="s">
        <v>3176</v>
      </c>
      <c r="L2532" t="s">
        <v>3177</v>
      </c>
      <c r="M2532" t="s">
        <v>3178</v>
      </c>
      <c r="N2532" t="s">
        <v>3179</v>
      </c>
      <c r="O2532" t="s">
        <v>3180</v>
      </c>
      <c r="P2532" t="s">
        <v>3181</v>
      </c>
      <c r="Q2532" t="s">
        <v>3182</v>
      </c>
    </row>
    <row r="2533" spans="1:17">
      <c r="A2533" t="s">
        <v>3183</v>
      </c>
      <c r="B2533" t="str">
        <f t="shared" ref="B2533:Q2533" si="383">"OFF"</f>
        <v>OFF</v>
      </c>
      <c r="C2533" t="str">
        <f t="shared" si="383"/>
        <v>OFF</v>
      </c>
      <c r="D2533" t="str">
        <f t="shared" si="383"/>
        <v>OFF</v>
      </c>
      <c r="E2533" t="str">
        <f t="shared" si="383"/>
        <v>OFF</v>
      </c>
      <c r="F2533" t="str">
        <f t="shared" si="383"/>
        <v>OFF</v>
      </c>
      <c r="G2533" t="str">
        <f t="shared" si="383"/>
        <v>OFF</v>
      </c>
      <c r="H2533" t="str">
        <f t="shared" si="383"/>
        <v>OFF</v>
      </c>
      <c r="I2533" t="str">
        <f t="shared" si="383"/>
        <v>OFF</v>
      </c>
      <c r="J2533" t="str">
        <f t="shared" si="383"/>
        <v>OFF</v>
      </c>
      <c r="K2533" t="str">
        <f t="shared" si="383"/>
        <v>OFF</v>
      </c>
      <c r="L2533" t="str">
        <f t="shared" si="383"/>
        <v>OFF</v>
      </c>
      <c r="M2533" t="str">
        <f t="shared" si="383"/>
        <v>OFF</v>
      </c>
      <c r="N2533" t="str">
        <f t="shared" si="383"/>
        <v>OFF</v>
      </c>
      <c r="O2533" t="str">
        <f t="shared" si="383"/>
        <v>OFF</v>
      </c>
      <c r="P2533" t="str">
        <f t="shared" si="383"/>
        <v>OFF</v>
      </c>
      <c r="Q2533" t="str">
        <f t="shared" si="383"/>
        <v>OFF</v>
      </c>
    </row>
    <row r="2534" spans="1:17">
      <c r="A2534" t="s">
        <v>53</v>
      </c>
      <c r="B2534" t="str">
        <f t="shared" ref="B2534:Q2534" si="384">"NON"</f>
        <v>NON</v>
      </c>
      <c r="C2534" t="str">
        <f t="shared" si="384"/>
        <v>NON</v>
      </c>
      <c r="D2534" t="str">
        <f t="shared" si="384"/>
        <v>NON</v>
      </c>
      <c r="E2534" t="str">
        <f t="shared" si="384"/>
        <v>NON</v>
      </c>
      <c r="F2534" t="str">
        <f t="shared" si="384"/>
        <v>NON</v>
      </c>
      <c r="G2534" t="str">
        <f t="shared" si="384"/>
        <v>NON</v>
      </c>
      <c r="H2534" t="str">
        <f t="shared" si="384"/>
        <v>NON</v>
      </c>
      <c r="I2534" t="str">
        <f t="shared" si="384"/>
        <v>NON</v>
      </c>
      <c r="J2534" t="str">
        <f t="shared" si="384"/>
        <v>NON</v>
      </c>
      <c r="K2534" t="str">
        <f t="shared" si="384"/>
        <v>NON</v>
      </c>
      <c r="L2534" t="str">
        <f t="shared" si="384"/>
        <v>NON</v>
      </c>
      <c r="M2534" t="str">
        <f t="shared" si="384"/>
        <v>NON</v>
      </c>
      <c r="N2534" t="str">
        <f t="shared" si="384"/>
        <v>NON</v>
      </c>
      <c r="O2534" t="str">
        <f t="shared" si="384"/>
        <v>NON</v>
      </c>
      <c r="P2534" t="str">
        <f t="shared" si="384"/>
        <v>NON</v>
      </c>
      <c r="Q2534" t="str">
        <f t="shared" si="384"/>
        <v>NON</v>
      </c>
    </row>
    <row r="2535" spans="1:17">
      <c r="A2535" t="s">
        <v>127</v>
      </c>
      <c r="B2535">
        <v>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</row>
    <row r="2537" spans="1:17">
      <c r="B2537" t="s">
        <v>3208</v>
      </c>
      <c r="C2537">
        <v>3</v>
      </c>
      <c r="D2537">
        <v>16</v>
      </c>
      <c r="E2537">
        <v>1</v>
      </c>
    </row>
    <row r="2538" spans="1:17">
      <c r="B2538" t="s">
        <v>3167</v>
      </c>
      <c r="C2538" t="s">
        <v>3168</v>
      </c>
      <c r="D2538" t="s">
        <v>3169</v>
      </c>
      <c r="E2538" t="s">
        <v>3170</v>
      </c>
      <c r="F2538" t="s">
        <v>3171</v>
      </c>
      <c r="G2538" t="s">
        <v>3172</v>
      </c>
      <c r="H2538" t="s">
        <v>3173</v>
      </c>
      <c r="I2538" t="s">
        <v>3174</v>
      </c>
      <c r="J2538" t="s">
        <v>3175</v>
      </c>
      <c r="K2538" t="s">
        <v>3176</v>
      </c>
      <c r="L2538" t="s">
        <v>3177</v>
      </c>
      <c r="M2538" t="s">
        <v>3178</v>
      </c>
      <c r="N2538" t="s">
        <v>3179</v>
      </c>
      <c r="O2538" t="s">
        <v>3180</v>
      </c>
      <c r="P2538" t="s">
        <v>3181</v>
      </c>
      <c r="Q2538" t="s">
        <v>3182</v>
      </c>
    </row>
    <row r="2539" spans="1:17">
      <c r="A2539" t="s">
        <v>3183</v>
      </c>
      <c r="B2539" t="str">
        <f t="shared" ref="B2539:Q2539" si="385">"OFF"</f>
        <v>OFF</v>
      </c>
      <c r="C2539" t="str">
        <f t="shared" si="385"/>
        <v>OFF</v>
      </c>
      <c r="D2539" t="str">
        <f t="shared" si="385"/>
        <v>OFF</v>
      </c>
      <c r="E2539" t="str">
        <f t="shared" si="385"/>
        <v>OFF</v>
      </c>
      <c r="F2539" t="str">
        <f t="shared" si="385"/>
        <v>OFF</v>
      </c>
      <c r="G2539" t="str">
        <f t="shared" si="385"/>
        <v>OFF</v>
      </c>
      <c r="H2539" t="str">
        <f t="shared" si="385"/>
        <v>OFF</v>
      </c>
      <c r="I2539" t="str">
        <f t="shared" si="385"/>
        <v>OFF</v>
      </c>
      <c r="J2539" t="str">
        <f t="shared" si="385"/>
        <v>OFF</v>
      </c>
      <c r="K2539" t="str">
        <f t="shared" si="385"/>
        <v>OFF</v>
      </c>
      <c r="L2539" t="str">
        <f t="shared" si="385"/>
        <v>OFF</v>
      </c>
      <c r="M2539" t="str">
        <f t="shared" si="385"/>
        <v>OFF</v>
      </c>
      <c r="N2539" t="str">
        <f t="shared" si="385"/>
        <v>OFF</v>
      </c>
      <c r="O2539" t="str">
        <f t="shared" si="385"/>
        <v>OFF</v>
      </c>
      <c r="P2539" t="str">
        <f t="shared" si="385"/>
        <v>OFF</v>
      </c>
      <c r="Q2539" t="str">
        <f t="shared" si="385"/>
        <v>OFF</v>
      </c>
    </row>
    <row r="2540" spans="1:17">
      <c r="A2540" t="s">
        <v>53</v>
      </c>
      <c r="B2540" t="str">
        <f t="shared" ref="B2540:Q2540" si="386">"NON"</f>
        <v>NON</v>
      </c>
      <c r="C2540" t="str">
        <f t="shared" si="386"/>
        <v>NON</v>
      </c>
      <c r="D2540" t="str">
        <f t="shared" si="386"/>
        <v>NON</v>
      </c>
      <c r="E2540" t="str">
        <f t="shared" si="386"/>
        <v>NON</v>
      </c>
      <c r="F2540" t="str">
        <f t="shared" si="386"/>
        <v>NON</v>
      </c>
      <c r="G2540" t="str">
        <f t="shared" si="386"/>
        <v>NON</v>
      </c>
      <c r="H2540" t="str">
        <f t="shared" si="386"/>
        <v>NON</v>
      </c>
      <c r="I2540" t="str">
        <f t="shared" si="386"/>
        <v>NON</v>
      </c>
      <c r="J2540" t="str">
        <f t="shared" si="386"/>
        <v>NON</v>
      </c>
      <c r="K2540" t="str">
        <f t="shared" si="386"/>
        <v>NON</v>
      </c>
      <c r="L2540" t="str">
        <f t="shared" si="386"/>
        <v>NON</v>
      </c>
      <c r="M2540" t="str">
        <f t="shared" si="386"/>
        <v>NON</v>
      </c>
      <c r="N2540" t="str">
        <f t="shared" si="386"/>
        <v>NON</v>
      </c>
      <c r="O2540" t="str">
        <f t="shared" si="386"/>
        <v>NON</v>
      </c>
      <c r="P2540" t="str">
        <f t="shared" si="386"/>
        <v>NON</v>
      </c>
      <c r="Q2540" t="str">
        <f t="shared" si="386"/>
        <v>NON</v>
      </c>
    </row>
    <row r="2541" spans="1:17">
      <c r="A2541" t="s">
        <v>127</v>
      </c>
      <c r="B2541">
        <v>0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</row>
    <row r="2543" spans="1:17">
      <c r="B2543" t="s">
        <v>3209</v>
      </c>
      <c r="C2543">
        <v>3</v>
      </c>
      <c r="D2543">
        <v>16</v>
      </c>
      <c r="E2543">
        <v>1</v>
      </c>
    </row>
    <row r="2544" spans="1:17">
      <c r="B2544" t="s">
        <v>3167</v>
      </c>
      <c r="C2544" t="s">
        <v>3168</v>
      </c>
      <c r="D2544" t="s">
        <v>3169</v>
      </c>
      <c r="E2544" t="s">
        <v>3170</v>
      </c>
      <c r="F2544" t="s">
        <v>3171</v>
      </c>
      <c r="G2544" t="s">
        <v>3172</v>
      </c>
      <c r="H2544" t="s">
        <v>3173</v>
      </c>
      <c r="I2544" t="s">
        <v>3174</v>
      </c>
      <c r="J2544" t="s">
        <v>3175</v>
      </c>
      <c r="K2544" t="s">
        <v>3176</v>
      </c>
      <c r="L2544" t="s">
        <v>3177</v>
      </c>
      <c r="M2544" t="s">
        <v>3178</v>
      </c>
      <c r="N2544" t="s">
        <v>3179</v>
      </c>
      <c r="O2544" t="s">
        <v>3180</v>
      </c>
      <c r="P2544" t="s">
        <v>3181</v>
      </c>
      <c r="Q2544" t="s">
        <v>3182</v>
      </c>
    </row>
    <row r="2545" spans="1:17">
      <c r="A2545" t="s">
        <v>3183</v>
      </c>
      <c r="B2545" t="str">
        <f t="shared" ref="B2545:Q2545" si="387">"OFF"</f>
        <v>OFF</v>
      </c>
      <c r="C2545" t="str">
        <f t="shared" si="387"/>
        <v>OFF</v>
      </c>
      <c r="D2545" t="str">
        <f t="shared" si="387"/>
        <v>OFF</v>
      </c>
      <c r="E2545" t="str">
        <f t="shared" si="387"/>
        <v>OFF</v>
      </c>
      <c r="F2545" t="str">
        <f t="shared" si="387"/>
        <v>OFF</v>
      </c>
      <c r="G2545" t="str">
        <f t="shared" si="387"/>
        <v>OFF</v>
      </c>
      <c r="H2545" t="str">
        <f t="shared" si="387"/>
        <v>OFF</v>
      </c>
      <c r="I2545" t="str">
        <f t="shared" si="387"/>
        <v>OFF</v>
      </c>
      <c r="J2545" t="str">
        <f t="shared" si="387"/>
        <v>OFF</v>
      </c>
      <c r="K2545" t="str">
        <f t="shared" si="387"/>
        <v>OFF</v>
      </c>
      <c r="L2545" t="str">
        <f t="shared" si="387"/>
        <v>OFF</v>
      </c>
      <c r="M2545" t="str">
        <f t="shared" si="387"/>
        <v>OFF</v>
      </c>
      <c r="N2545" t="str">
        <f t="shared" si="387"/>
        <v>OFF</v>
      </c>
      <c r="O2545" t="str">
        <f t="shared" si="387"/>
        <v>OFF</v>
      </c>
      <c r="P2545" t="str">
        <f t="shared" si="387"/>
        <v>OFF</v>
      </c>
      <c r="Q2545" t="str">
        <f t="shared" si="387"/>
        <v>OFF</v>
      </c>
    </row>
    <row r="2546" spans="1:17">
      <c r="A2546" t="s">
        <v>53</v>
      </c>
      <c r="B2546" t="str">
        <f t="shared" ref="B2546:Q2546" si="388">"NON"</f>
        <v>NON</v>
      </c>
      <c r="C2546" t="str">
        <f t="shared" si="388"/>
        <v>NON</v>
      </c>
      <c r="D2546" t="str">
        <f t="shared" si="388"/>
        <v>NON</v>
      </c>
      <c r="E2546" t="str">
        <f t="shared" si="388"/>
        <v>NON</v>
      </c>
      <c r="F2546" t="str">
        <f t="shared" si="388"/>
        <v>NON</v>
      </c>
      <c r="G2546" t="str">
        <f t="shared" si="388"/>
        <v>NON</v>
      </c>
      <c r="H2546" t="str">
        <f t="shared" si="388"/>
        <v>NON</v>
      </c>
      <c r="I2546" t="str">
        <f t="shared" si="388"/>
        <v>NON</v>
      </c>
      <c r="J2546" t="str">
        <f t="shared" si="388"/>
        <v>NON</v>
      </c>
      <c r="K2546" t="str">
        <f t="shared" si="388"/>
        <v>NON</v>
      </c>
      <c r="L2546" t="str">
        <f t="shared" si="388"/>
        <v>NON</v>
      </c>
      <c r="M2546" t="str">
        <f t="shared" si="388"/>
        <v>NON</v>
      </c>
      <c r="N2546" t="str">
        <f t="shared" si="388"/>
        <v>NON</v>
      </c>
      <c r="O2546" t="str">
        <f t="shared" si="388"/>
        <v>NON</v>
      </c>
      <c r="P2546" t="str">
        <f t="shared" si="388"/>
        <v>NON</v>
      </c>
      <c r="Q2546" t="str">
        <f t="shared" si="388"/>
        <v>NON</v>
      </c>
    </row>
    <row r="2547" spans="1:17">
      <c r="A2547" t="s">
        <v>127</v>
      </c>
      <c r="B2547">
        <v>0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</row>
    <row r="2549" spans="1:17">
      <c r="B2549" t="s">
        <v>3210</v>
      </c>
      <c r="C2549">
        <v>3</v>
      </c>
      <c r="D2549">
        <v>16</v>
      </c>
      <c r="E2549">
        <v>1</v>
      </c>
    </row>
    <row r="2550" spans="1:17">
      <c r="B2550" t="s">
        <v>3167</v>
      </c>
      <c r="C2550" t="s">
        <v>3168</v>
      </c>
      <c r="D2550" t="s">
        <v>3169</v>
      </c>
      <c r="E2550" t="s">
        <v>3170</v>
      </c>
      <c r="F2550" t="s">
        <v>3171</v>
      </c>
      <c r="G2550" t="s">
        <v>3172</v>
      </c>
      <c r="H2550" t="s">
        <v>3173</v>
      </c>
      <c r="I2550" t="s">
        <v>3174</v>
      </c>
      <c r="J2550" t="s">
        <v>3175</v>
      </c>
      <c r="K2550" t="s">
        <v>3176</v>
      </c>
      <c r="L2550" t="s">
        <v>3177</v>
      </c>
      <c r="M2550" t="s">
        <v>3178</v>
      </c>
      <c r="N2550" t="s">
        <v>3179</v>
      </c>
      <c r="O2550" t="s">
        <v>3180</v>
      </c>
      <c r="P2550" t="s">
        <v>3181</v>
      </c>
      <c r="Q2550" t="s">
        <v>3182</v>
      </c>
    </row>
    <row r="2551" spans="1:17">
      <c r="A2551" t="s">
        <v>3183</v>
      </c>
      <c r="B2551" t="str">
        <f t="shared" ref="B2551:Q2551" si="389">"OFF"</f>
        <v>OFF</v>
      </c>
      <c r="C2551" t="str">
        <f t="shared" si="389"/>
        <v>OFF</v>
      </c>
      <c r="D2551" t="str">
        <f t="shared" si="389"/>
        <v>OFF</v>
      </c>
      <c r="E2551" t="str">
        <f t="shared" si="389"/>
        <v>OFF</v>
      </c>
      <c r="F2551" t="str">
        <f t="shared" si="389"/>
        <v>OFF</v>
      </c>
      <c r="G2551" t="str">
        <f t="shared" si="389"/>
        <v>OFF</v>
      </c>
      <c r="H2551" t="str">
        <f t="shared" si="389"/>
        <v>OFF</v>
      </c>
      <c r="I2551" t="str">
        <f t="shared" si="389"/>
        <v>OFF</v>
      </c>
      <c r="J2551" t="str">
        <f t="shared" si="389"/>
        <v>OFF</v>
      </c>
      <c r="K2551" t="str">
        <f t="shared" si="389"/>
        <v>OFF</v>
      </c>
      <c r="L2551" t="str">
        <f t="shared" si="389"/>
        <v>OFF</v>
      </c>
      <c r="M2551" t="str">
        <f t="shared" si="389"/>
        <v>OFF</v>
      </c>
      <c r="N2551" t="str">
        <f t="shared" si="389"/>
        <v>OFF</v>
      </c>
      <c r="O2551" t="str">
        <f t="shared" si="389"/>
        <v>OFF</v>
      </c>
      <c r="P2551" t="str">
        <f t="shared" si="389"/>
        <v>OFF</v>
      </c>
      <c r="Q2551" t="str">
        <f t="shared" si="389"/>
        <v>OFF</v>
      </c>
    </row>
    <row r="2552" spans="1:17">
      <c r="A2552" t="s">
        <v>53</v>
      </c>
      <c r="B2552" t="str">
        <f t="shared" ref="B2552:Q2552" si="390">"NON"</f>
        <v>NON</v>
      </c>
      <c r="C2552" t="str">
        <f t="shared" si="390"/>
        <v>NON</v>
      </c>
      <c r="D2552" t="str">
        <f t="shared" si="390"/>
        <v>NON</v>
      </c>
      <c r="E2552" t="str">
        <f t="shared" si="390"/>
        <v>NON</v>
      </c>
      <c r="F2552" t="str">
        <f t="shared" si="390"/>
        <v>NON</v>
      </c>
      <c r="G2552" t="str">
        <f t="shared" si="390"/>
        <v>NON</v>
      </c>
      <c r="H2552" t="str">
        <f t="shared" si="390"/>
        <v>NON</v>
      </c>
      <c r="I2552" t="str">
        <f t="shared" si="390"/>
        <v>NON</v>
      </c>
      <c r="J2552" t="str">
        <f t="shared" si="390"/>
        <v>NON</v>
      </c>
      <c r="K2552" t="str">
        <f t="shared" si="390"/>
        <v>NON</v>
      </c>
      <c r="L2552" t="str">
        <f t="shared" si="390"/>
        <v>NON</v>
      </c>
      <c r="M2552" t="str">
        <f t="shared" si="390"/>
        <v>NON</v>
      </c>
      <c r="N2552" t="str">
        <f t="shared" si="390"/>
        <v>NON</v>
      </c>
      <c r="O2552" t="str">
        <f t="shared" si="390"/>
        <v>NON</v>
      </c>
      <c r="P2552" t="str">
        <f t="shared" si="390"/>
        <v>NON</v>
      </c>
      <c r="Q2552" t="str">
        <f t="shared" si="390"/>
        <v>NON</v>
      </c>
    </row>
    <row r="2553" spans="1:17">
      <c r="A2553" t="s">
        <v>127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</row>
    <row r="2555" spans="1:17">
      <c r="B2555" t="s">
        <v>3211</v>
      </c>
      <c r="C2555">
        <v>3</v>
      </c>
      <c r="D2555">
        <v>16</v>
      </c>
      <c r="E2555">
        <v>1</v>
      </c>
    </row>
    <row r="2556" spans="1:17">
      <c r="B2556" t="s">
        <v>3167</v>
      </c>
      <c r="C2556" t="s">
        <v>3168</v>
      </c>
      <c r="D2556" t="s">
        <v>3169</v>
      </c>
      <c r="E2556" t="s">
        <v>3170</v>
      </c>
      <c r="F2556" t="s">
        <v>3171</v>
      </c>
      <c r="G2556" t="s">
        <v>3172</v>
      </c>
      <c r="H2556" t="s">
        <v>3173</v>
      </c>
      <c r="I2556" t="s">
        <v>3174</v>
      </c>
      <c r="J2556" t="s">
        <v>3175</v>
      </c>
      <c r="K2556" t="s">
        <v>3176</v>
      </c>
      <c r="L2556" t="s">
        <v>3177</v>
      </c>
      <c r="M2556" t="s">
        <v>3178</v>
      </c>
      <c r="N2556" t="s">
        <v>3179</v>
      </c>
      <c r="O2556" t="s">
        <v>3180</v>
      </c>
      <c r="P2556" t="s">
        <v>3181</v>
      </c>
      <c r="Q2556" t="s">
        <v>3182</v>
      </c>
    </row>
    <row r="2557" spans="1:17">
      <c r="A2557" t="s">
        <v>3183</v>
      </c>
      <c r="B2557" t="str">
        <f t="shared" ref="B2557:Q2557" si="391">"OFF"</f>
        <v>OFF</v>
      </c>
      <c r="C2557" t="str">
        <f t="shared" si="391"/>
        <v>OFF</v>
      </c>
      <c r="D2557" t="str">
        <f t="shared" si="391"/>
        <v>OFF</v>
      </c>
      <c r="E2557" t="str">
        <f t="shared" si="391"/>
        <v>OFF</v>
      </c>
      <c r="F2557" t="str">
        <f t="shared" si="391"/>
        <v>OFF</v>
      </c>
      <c r="G2557" t="str">
        <f t="shared" si="391"/>
        <v>OFF</v>
      </c>
      <c r="H2557" t="str">
        <f t="shared" si="391"/>
        <v>OFF</v>
      </c>
      <c r="I2557" t="str">
        <f t="shared" si="391"/>
        <v>OFF</v>
      </c>
      <c r="J2557" t="str">
        <f t="shared" si="391"/>
        <v>OFF</v>
      </c>
      <c r="K2557" t="str">
        <f t="shared" si="391"/>
        <v>OFF</v>
      </c>
      <c r="L2557" t="str">
        <f t="shared" si="391"/>
        <v>OFF</v>
      </c>
      <c r="M2557" t="str">
        <f t="shared" si="391"/>
        <v>OFF</v>
      </c>
      <c r="N2557" t="str">
        <f t="shared" si="391"/>
        <v>OFF</v>
      </c>
      <c r="O2557" t="str">
        <f t="shared" si="391"/>
        <v>OFF</v>
      </c>
      <c r="P2557" t="str">
        <f t="shared" si="391"/>
        <v>OFF</v>
      </c>
      <c r="Q2557" t="str">
        <f t="shared" si="391"/>
        <v>OFF</v>
      </c>
    </row>
    <row r="2558" spans="1:17">
      <c r="A2558" t="s">
        <v>53</v>
      </c>
      <c r="B2558" t="str">
        <f t="shared" ref="B2558:Q2558" si="392">"NON"</f>
        <v>NON</v>
      </c>
      <c r="C2558" t="str">
        <f t="shared" si="392"/>
        <v>NON</v>
      </c>
      <c r="D2558" t="str">
        <f t="shared" si="392"/>
        <v>NON</v>
      </c>
      <c r="E2558" t="str">
        <f t="shared" si="392"/>
        <v>NON</v>
      </c>
      <c r="F2558" t="str">
        <f t="shared" si="392"/>
        <v>NON</v>
      </c>
      <c r="G2558" t="str">
        <f t="shared" si="392"/>
        <v>NON</v>
      </c>
      <c r="H2558" t="str">
        <f t="shared" si="392"/>
        <v>NON</v>
      </c>
      <c r="I2558" t="str">
        <f t="shared" si="392"/>
        <v>NON</v>
      </c>
      <c r="J2558" t="str">
        <f t="shared" si="392"/>
        <v>NON</v>
      </c>
      <c r="K2558" t="str">
        <f t="shared" si="392"/>
        <v>NON</v>
      </c>
      <c r="L2558" t="str">
        <f t="shared" si="392"/>
        <v>NON</v>
      </c>
      <c r="M2558" t="str">
        <f t="shared" si="392"/>
        <v>NON</v>
      </c>
      <c r="N2558" t="str">
        <f t="shared" si="392"/>
        <v>NON</v>
      </c>
      <c r="O2558" t="str">
        <f t="shared" si="392"/>
        <v>NON</v>
      </c>
      <c r="P2558" t="str">
        <f t="shared" si="392"/>
        <v>NON</v>
      </c>
      <c r="Q2558" t="str">
        <f t="shared" si="392"/>
        <v>NON</v>
      </c>
    </row>
    <row r="2559" spans="1:17">
      <c r="A2559" t="s">
        <v>127</v>
      </c>
      <c r="B2559">
        <v>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</row>
    <row r="2561" spans="1:17">
      <c r="B2561" t="s">
        <v>3212</v>
      </c>
      <c r="C2561">
        <v>3</v>
      </c>
      <c r="D2561">
        <v>16</v>
      </c>
      <c r="E2561">
        <v>1</v>
      </c>
    </row>
    <row r="2562" spans="1:17">
      <c r="B2562" t="s">
        <v>3167</v>
      </c>
      <c r="C2562" t="s">
        <v>3168</v>
      </c>
      <c r="D2562" t="s">
        <v>3169</v>
      </c>
      <c r="E2562" t="s">
        <v>3170</v>
      </c>
      <c r="F2562" t="s">
        <v>3171</v>
      </c>
      <c r="G2562" t="s">
        <v>3172</v>
      </c>
      <c r="H2562" t="s">
        <v>3173</v>
      </c>
      <c r="I2562" t="s">
        <v>3174</v>
      </c>
      <c r="J2562" t="s">
        <v>3175</v>
      </c>
      <c r="K2562" t="s">
        <v>3176</v>
      </c>
      <c r="L2562" t="s">
        <v>3177</v>
      </c>
      <c r="M2562" t="s">
        <v>3178</v>
      </c>
      <c r="N2562" t="s">
        <v>3179</v>
      </c>
      <c r="O2562" t="s">
        <v>3180</v>
      </c>
      <c r="P2562" t="s">
        <v>3181</v>
      </c>
      <c r="Q2562" t="s">
        <v>3182</v>
      </c>
    </row>
    <row r="2563" spans="1:17">
      <c r="A2563" t="s">
        <v>3183</v>
      </c>
      <c r="B2563" t="str">
        <f t="shared" ref="B2563:Q2563" si="393">"OFF"</f>
        <v>OFF</v>
      </c>
      <c r="C2563" t="str">
        <f t="shared" si="393"/>
        <v>OFF</v>
      </c>
      <c r="D2563" t="str">
        <f t="shared" si="393"/>
        <v>OFF</v>
      </c>
      <c r="E2563" t="str">
        <f t="shared" si="393"/>
        <v>OFF</v>
      </c>
      <c r="F2563" t="str">
        <f t="shared" si="393"/>
        <v>OFF</v>
      </c>
      <c r="G2563" t="str">
        <f t="shared" si="393"/>
        <v>OFF</v>
      </c>
      <c r="H2563" t="str">
        <f t="shared" si="393"/>
        <v>OFF</v>
      </c>
      <c r="I2563" t="str">
        <f t="shared" si="393"/>
        <v>OFF</v>
      </c>
      <c r="J2563" t="str">
        <f t="shared" si="393"/>
        <v>OFF</v>
      </c>
      <c r="K2563" t="str">
        <f t="shared" si="393"/>
        <v>OFF</v>
      </c>
      <c r="L2563" t="str">
        <f t="shared" si="393"/>
        <v>OFF</v>
      </c>
      <c r="M2563" t="str">
        <f t="shared" si="393"/>
        <v>OFF</v>
      </c>
      <c r="N2563" t="str">
        <f t="shared" si="393"/>
        <v>OFF</v>
      </c>
      <c r="O2563" t="str">
        <f t="shared" si="393"/>
        <v>OFF</v>
      </c>
      <c r="P2563" t="str">
        <f t="shared" si="393"/>
        <v>OFF</v>
      </c>
      <c r="Q2563" t="str">
        <f t="shared" si="393"/>
        <v>OFF</v>
      </c>
    </row>
    <row r="2564" spans="1:17">
      <c r="A2564" t="s">
        <v>53</v>
      </c>
      <c r="B2564" t="str">
        <f t="shared" ref="B2564:Q2564" si="394">"NON"</f>
        <v>NON</v>
      </c>
      <c r="C2564" t="str">
        <f t="shared" si="394"/>
        <v>NON</v>
      </c>
      <c r="D2564" t="str">
        <f t="shared" si="394"/>
        <v>NON</v>
      </c>
      <c r="E2564" t="str">
        <f t="shared" si="394"/>
        <v>NON</v>
      </c>
      <c r="F2564" t="str">
        <f t="shared" si="394"/>
        <v>NON</v>
      </c>
      <c r="G2564" t="str">
        <f t="shared" si="394"/>
        <v>NON</v>
      </c>
      <c r="H2564" t="str">
        <f t="shared" si="394"/>
        <v>NON</v>
      </c>
      <c r="I2564" t="str">
        <f t="shared" si="394"/>
        <v>NON</v>
      </c>
      <c r="J2564" t="str">
        <f t="shared" si="394"/>
        <v>NON</v>
      </c>
      <c r="K2564" t="str">
        <f t="shared" si="394"/>
        <v>NON</v>
      </c>
      <c r="L2564" t="str">
        <f t="shared" si="394"/>
        <v>NON</v>
      </c>
      <c r="M2564" t="str">
        <f t="shared" si="394"/>
        <v>NON</v>
      </c>
      <c r="N2564" t="str">
        <f t="shared" si="394"/>
        <v>NON</v>
      </c>
      <c r="O2564" t="str">
        <f t="shared" si="394"/>
        <v>NON</v>
      </c>
      <c r="P2564" t="str">
        <f t="shared" si="394"/>
        <v>NON</v>
      </c>
      <c r="Q2564" t="str">
        <f t="shared" si="394"/>
        <v>NON</v>
      </c>
    </row>
    <row r="2565" spans="1:17">
      <c r="A2565" t="s">
        <v>127</v>
      </c>
      <c r="B2565">
        <v>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</row>
    <row r="2567" spans="1:17">
      <c r="B2567" t="s">
        <v>3213</v>
      </c>
      <c r="C2567">
        <v>3</v>
      </c>
      <c r="D2567">
        <v>16</v>
      </c>
      <c r="E2567">
        <v>1</v>
      </c>
    </row>
    <row r="2568" spans="1:17">
      <c r="B2568" t="s">
        <v>3167</v>
      </c>
      <c r="C2568" t="s">
        <v>3168</v>
      </c>
      <c r="D2568" t="s">
        <v>3169</v>
      </c>
      <c r="E2568" t="s">
        <v>3170</v>
      </c>
      <c r="F2568" t="s">
        <v>3171</v>
      </c>
      <c r="G2568" t="s">
        <v>3172</v>
      </c>
      <c r="H2568" t="s">
        <v>3173</v>
      </c>
      <c r="I2568" t="s">
        <v>3174</v>
      </c>
      <c r="J2568" t="s">
        <v>3175</v>
      </c>
      <c r="K2568" t="s">
        <v>3176</v>
      </c>
      <c r="L2568" t="s">
        <v>3177</v>
      </c>
      <c r="M2568" t="s">
        <v>3178</v>
      </c>
      <c r="N2568" t="s">
        <v>3179</v>
      </c>
      <c r="O2568" t="s">
        <v>3180</v>
      </c>
      <c r="P2568" t="s">
        <v>3181</v>
      </c>
      <c r="Q2568" t="s">
        <v>3182</v>
      </c>
    </row>
    <row r="2569" spans="1:17">
      <c r="A2569" t="s">
        <v>3183</v>
      </c>
      <c r="B2569" t="str">
        <f t="shared" ref="B2569:Q2569" si="395">"OFF"</f>
        <v>OFF</v>
      </c>
      <c r="C2569" t="str">
        <f t="shared" si="395"/>
        <v>OFF</v>
      </c>
      <c r="D2569" t="str">
        <f t="shared" si="395"/>
        <v>OFF</v>
      </c>
      <c r="E2569" t="str">
        <f t="shared" si="395"/>
        <v>OFF</v>
      </c>
      <c r="F2569" t="str">
        <f t="shared" si="395"/>
        <v>OFF</v>
      </c>
      <c r="G2569" t="str">
        <f t="shared" si="395"/>
        <v>OFF</v>
      </c>
      <c r="H2569" t="str">
        <f t="shared" si="395"/>
        <v>OFF</v>
      </c>
      <c r="I2569" t="str">
        <f t="shared" si="395"/>
        <v>OFF</v>
      </c>
      <c r="J2569" t="str">
        <f t="shared" si="395"/>
        <v>OFF</v>
      </c>
      <c r="K2569" t="str">
        <f t="shared" si="395"/>
        <v>OFF</v>
      </c>
      <c r="L2569" t="str">
        <f t="shared" si="395"/>
        <v>OFF</v>
      </c>
      <c r="M2569" t="str">
        <f t="shared" si="395"/>
        <v>OFF</v>
      </c>
      <c r="N2569" t="str">
        <f t="shared" si="395"/>
        <v>OFF</v>
      </c>
      <c r="O2569" t="str">
        <f t="shared" si="395"/>
        <v>OFF</v>
      </c>
      <c r="P2569" t="str">
        <f t="shared" si="395"/>
        <v>OFF</v>
      </c>
      <c r="Q2569" t="str">
        <f t="shared" si="395"/>
        <v>OFF</v>
      </c>
    </row>
    <row r="2570" spans="1:17">
      <c r="A2570" t="s">
        <v>53</v>
      </c>
      <c r="B2570" t="str">
        <f t="shared" ref="B2570:Q2570" si="396">"NON"</f>
        <v>NON</v>
      </c>
      <c r="C2570" t="str">
        <f t="shared" si="396"/>
        <v>NON</v>
      </c>
      <c r="D2570" t="str">
        <f t="shared" si="396"/>
        <v>NON</v>
      </c>
      <c r="E2570" t="str">
        <f t="shared" si="396"/>
        <v>NON</v>
      </c>
      <c r="F2570" t="str">
        <f t="shared" si="396"/>
        <v>NON</v>
      </c>
      <c r="G2570" t="str">
        <f t="shared" si="396"/>
        <v>NON</v>
      </c>
      <c r="H2570" t="str">
        <f t="shared" si="396"/>
        <v>NON</v>
      </c>
      <c r="I2570" t="str">
        <f t="shared" si="396"/>
        <v>NON</v>
      </c>
      <c r="J2570" t="str">
        <f t="shared" si="396"/>
        <v>NON</v>
      </c>
      <c r="K2570" t="str">
        <f t="shared" si="396"/>
        <v>NON</v>
      </c>
      <c r="L2570" t="str">
        <f t="shared" si="396"/>
        <v>NON</v>
      </c>
      <c r="M2570" t="str">
        <f t="shared" si="396"/>
        <v>NON</v>
      </c>
      <c r="N2570" t="str">
        <f t="shared" si="396"/>
        <v>NON</v>
      </c>
      <c r="O2570" t="str">
        <f t="shared" si="396"/>
        <v>NON</v>
      </c>
      <c r="P2570" t="str">
        <f t="shared" si="396"/>
        <v>NON</v>
      </c>
      <c r="Q2570" t="str">
        <f t="shared" si="396"/>
        <v>NON</v>
      </c>
    </row>
    <row r="2571" spans="1:17">
      <c r="A2571" t="s">
        <v>127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</row>
    <row r="2573" spans="1:17">
      <c r="B2573" t="s">
        <v>3214</v>
      </c>
      <c r="C2573">
        <v>3</v>
      </c>
      <c r="D2573">
        <v>16</v>
      </c>
      <c r="E2573">
        <v>1</v>
      </c>
    </row>
    <row r="2574" spans="1:17">
      <c r="B2574" t="s">
        <v>3167</v>
      </c>
      <c r="C2574" t="s">
        <v>3168</v>
      </c>
      <c r="D2574" t="s">
        <v>3169</v>
      </c>
      <c r="E2574" t="s">
        <v>3170</v>
      </c>
      <c r="F2574" t="s">
        <v>3171</v>
      </c>
      <c r="G2574" t="s">
        <v>3172</v>
      </c>
      <c r="H2574" t="s">
        <v>3173</v>
      </c>
      <c r="I2574" t="s">
        <v>3174</v>
      </c>
      <c r="J2574" t="s">
        <v>3175</v>
      </c>
      <c r="K2574" t="s">
        <v>3176</v>
      </c>
      <c r="L2574" t="s">
        <v>3177</v>
      </c>
      <c r="M2574" t="s">
        <v>3178</v>
      </c>
      <c r="N2574" t="s">
        <v>3179</v>
      </c>
      <c r="O2574" t="s">
        <v>3180</v>
      </c>
      <c r="P2574" t="s">
        <v>3181</v>
      </c>
      <c r="Q2574" t="s">
        <v>3182</v>
      </c>
    </row>
    <row r="2575" spans="1:17">
      <c r="A2575" t="s">
        <v>3183</v>
      </c>
      <c r="B2575" t="str">
        <f t="shared" ref="B2575:Q2575" si="397">"OFF"</f>
        <v>OFF</v>
      </c>
      <c r="C2575" t="str">
        <f t="shared" si="397"/>
        <v>OFF</v>
      </c>
      <c r="D2575" t="str">
        <f t="shared" si="397"/>
        <v>OFF</v>
      </c>
      <c r="E2575" t="str">
        <f t="shared" si="397"/>
        <v>OFF</v>
      </c>
      <c r="F2575" t="str">
        <f t="shared" si="397"/>
        <v>OFF</v>
      </c>
      <c r="G2575" t="str">
        <f t="shared" si="397"/>
        <v>OFF</v>
      </c>
      <c r="H2575" t="str">
        <f t="shared" si="397"/>
        <v>OFF</v>
      </c>
      <c r="I2575" t="str">
        <f t="shared" si="397"/>
        <v>OFF</v>
      </c>
      <c r="J2575" t="str">
        <f t="shared" si="397"/>
        <v>OFF</v>
      </c>
      <c r="K2575" t="str">
        <f t="shared" si="397"/>
        <v>OFF</v>
      </c>
      <c r="L2575" t="str">
        <f t="shared" si="397"/>
        <v>OFF</v>
      </c>
      <c r="M2575" t="str">
        <f t="shared" si="397"/>
        <v>OFF</v>
      </c>
      <c r="N2575" t="str">
        <f t="shared" si="397"/>
        <v>OFF</v>
      </c>
      <c r="O2575" t="str">
        <f t="shared" si="397"/>
        <v>OFF</v>
      </c>
      <c r="P2575" t="str">
        <f t="shared" si="397"/>
        <v>OFF</v>
      </c>
      <c r="Q2575" t="str">
        <f t="shared" si="397"/>
        <v>OFF</v>
      </c>
    </row>
    <row r="2576" spans="1:17">
      <c r="A2576" t="s">
        <v>53</v>
      </c>
      <c r="B2576" t="str">
        <f t="shared" ref="B2576:Q2576" si="398">"NON"</f>
        <v>NON</v>
      </c>
      <c r="C2576" t="str">
        <f t="shared" si="398"/>
        <v>NON</v>
      </c>
      <c r="D2576" t="str">
        <f t="shared" si="398"/>
        <v>NON</v>
      </c>
      <c r="E2576" t="str">
        <f t="shared" si="398"/>
        <v>NON</v>
      </c>
      <c r="F2576" t="str">
        <f t="shared" si="398"/>
        <v>NON</v>
      </c>
      <c r="G2576" t="str">
        <f t="shared" si="398"/>
        <v>NON</v>
      </c>
      <c r="H2576" t="str">
        <f t="shared" si="398"/>
        <v>NON</v>
      </c>
      <c r="I2576" t="str">
        <f t="shared" si="398"/>
        <v>NON</v>
      </c>
      <c r="J2576" t="str">
        <f t="shared" si="398"/>
        <v>NON</v>
      </c>
      <c r="K2576" t="str">
        <f t="shared" si="398"/>
        <v>NON</v>
      </c>
      <c r="L2576" t="str">
        <f t="shared" si="398"/>
        <v>NON</v>
      </c>
      <c r="M2576" t="str">
        <f t="shared" si="398"/>
        <v>NON</v>
      </c>
      <c r="N2576" t="str">
        <f t="shared" si="398"/>
        <v>NON</v>
      </c>
      <c r="O2576" t="str">
        <f t="shared" si="398"/>
        <v>NON</v>
      </c>
      <c r="P2576" t="str">
        <f t="shared" si="398"/>
        <v>NON</v>
      </c>
      <c r="Q2576" t="str">
        <f t="shared" si="398"/>
        <v>NON</v>
      </c>
    </row>
    <row r="2577" spans="1:33">
      <c r="A2577" t="s">
        <v>127</v>
      </c>
      <c r="B2577">
        <v>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</row>
    <row r="2579" spans="1:33">
      <c r="B2579" t="s">
        <v>3215</v>
      </c>
      <c r="C2579">
        <v>123</v>
      </c>
      <c r="D2579">
        <v>32</v>
      </c>
      <c r="E2579">
        <v>1</v>
      </c>
    </row>
    <row r="2580" spans="1:33">
      <c r="B2580" t="s">
        <v>3216</v>
      </c>
      <c r="C2580" t="s">
        <v>3217</v>
      </c>
      <c r="D2580" t="s">
        <v>3218</v>
      </c>
      <c r="E2580" t="s">
        <v>3219</v>
      </c>
      <c r="F2580" t="s">
        <v>3220</v>
      </c>
      <c r="G2580" t="s">
        <v>3221</v>
      </c>
      <c r="H2580" t="s">
        <v>3222</v>
      </c>
      <c r="I2580" t="s">
        <v>3223</v>
      </c>
      <c r="J2580" t="s">
        <v>3224</v>
      </c>
      <c r="K2580" t="s">
        <v>3225</v>
      </c>
      <c r="L2580" t="s">
        <v>3226</v>
      </c>
      <c r="M2580" t="s">
        <v>3227</v>
      </c>
      <c r="N2580" t="s">
        <v>3228</v>
      </c>
      <c r="O2580" t="s">
        <v>3229</v>
      </c>
      <c r="P2580" t="s">
        <v>3230</v>
      </c>
      <c r="Q2580" t="s">
        <v>3231</v>
      </c>
      <c r="R2580" t="s">
        <v>3232</v>
      </c>
      <c r="S2580" t="s">
        <v>3233</v>
      </c>
      <c r="T2580" t="s">
        <v>3234</v>
      </c>
      <c r="U2580" t="s">
        <v>3235</v>
      </c>
      <c r="V2580" t="s">
        <v>3236</v>
      </c>
      <c r="W2580" t="s">
        <v>3237</v>
      </c>
      <c r="X2580" t="s">
        <v>3238</v>
      </c>
      <c r="Y2580" t="s">
        <v>3239</v>
      </c>
      <c r="Z2580" t="s">
        <v>3240</v>
      </c>
      <c r="AA2580" t="s">
        <v>3241</v>
      </c>
      <c r="AB2580" t="s">
        <v>3242</v>
      </c>
      <c r="AC2580" t="s">
        <v>3243</v>
      </c>
      <c r="AD2580" t="s">
        <v>3244</v>
      </c>
      <c r="AE2580" t="s">
        <v>3245</v>
      </c>
      <c r="AF2580" t="s">
        <v>3246</v>
      </c>
      <c r="AG2580" t="s">
        <v>3247</v>
      </c>
    </row>
    <row r="2581" spans="1:33">
      <c r="A2581" t="s">
        <v>3248</v>
      </c>
      <c r="B2581">
        <v>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</row>
    <row r="2582" spans="1:33">
      <c r="A2582" t="s">
        <v>3249</v>
      </c>
      <c r="B2582" t="str">
        <f t="shared" ref="B2582:K2584" si="399">"OFF"</f>
        <v>OFF</v>
      </c>
      <c r="C2582" t="str">
        <f t="shared" si="399"/>
        <v>OFF</v>
      </c>
      <c r="D2582" t="str">
        <f t="shared" si="399"/>
        <v>OFF</v>
      </c>
      <c r="E2582" t="str">
        <f t="shared" si="399"/>
        <v>OFF</v>
      </c>
      <c r="F2582" t="str">
        <f t="shared" si="399"/>
        <v>OFF</v>
      </c>
      <c r="G2582" t="str">
        <f t="shared" si="399"/>
        <v>OFF</v>
      </c>
      <c r="H2582" t="str">
        <f t="shared" si="399"/>
        <v>OFF</v>
      </c>
      <c r="I2582" t="str">
        <f t="shared" si="399"/>
        <v>OFF</v>
      </c>
      <c r="J2582" t="str">
        <f t="shared" si="399"/>
        <v>OFF</v>
      </c>
      <c r="K2582" t="str">
        <f t="shared" si="399"/>
        <v>OFF</v>
      </c>
      <c r="L2582" t="str">
        <f t="shared" ref="L2582:U2584" si="400">"OFF"</f>
        <v>OFF</v>
      </c>
      <c r="M2582" t="str">
        <f t="shared" si="400"/>
        <v>OFF</v>
      </c>
      <c r="N2582" t="str">
        <f t="shared" si="400"/>
        <v>OFF</v>
      </c>
      <c r="O2582" t="str">
        <f t="shared" si="400"/>
        <v>OFF</v>
      </c>
      <c r="P2582" t="str">
        <f t="shared" si="400"/>
        <v>OFF</v>
      </c>
      <c r="Q2582" t="str">
        <f t="shared" si="400"/>
        <v>OFF</v>
      </c>
      <c r="R2582" t="str">
        <f t="shared" si="400"/>
        <v>OFF</v>
      </c>
      <c r="S2582" t="str">
        <f t="shared" si="400"/>
        <v>OFF</v>
      </c>
      <c r="T2582" t="str">
        <f t="shared" si="400"/>
        <v>OFF</v>
      </c>
      <c r="U2582" t="str">
        <f t="shared" si="400"/>
        <v>OFF</v>
      </c>
      <c r="V2582" t="str">
        <f t="shared" ref="V2582:AG2584" si="401">"OFF"</f>
        <v>OFF</v>
      </c>
      <c r="W2582" t="str">
        <f t="shared" si="401"/>
        <v>OFF</v>
      </c>
      <c r="X2582" t="str">
        <f t="shared" si="401"/>
        <v>OFF</v>
      </c>
      <c r="Y2582" t="str">
        <f t="shared" si="401"/>
        <v>OFF</v>
      </c>
      <c r="Z2582" t="str">
        <f t="shared" si="401"/>
        <v>OFF</v>
      </c>
      <c r="AA2582" t="str">
        <f t="shared" si="401"/>
        <v>OFF</v>
      </c>
      <c r="AB2582" t="str">
        <f t="shared" si="401"/>
        <v>OFF</v>
      </c>
      <c r="AC2582" t="str">
        <f t="shared" si="401"/>
        <v>OFF</v>
      </c>
      <c r="AD2582" t="str">
        <f t="shared" si="401"/>
        <v>OFF</v>
      </c>
      <c r="AE2582" t="str">
        <f t="shared" si="401"/>
        <v>OFF</v>
      </c>
      <c r="AF2582" t="str">
        <f t="shared" si="401"/>
        <v>OFF</v>
      </c>
      <c r="AG2582" t="str">
        <f t="shared" si="401"/>
        <v>OFF</v>
      </c>
    </row>
    <row r="2583" spans="1:33">
      <c r="A2583" t="s">
        <v>3250</v>
      </c>
      <c r="B2583" t="str">
        <f t="shared" si="399"/>
        <v>OFF</v>
      </c>
      <c r="C2583" t="str">
        <f t="shared" si="399"/>
        <v>OFF</v>
      </c>
      <c r="D2583" t="str">
        <f t="shared" si="399"/>
        <v>OFF</v>
      </c>
      <c r="E2583" t="str">
        <f t="shared" si="399"/>
        <v>OFF</v>
      </c>
      <c r="F2583" t="str">
        <f t="shared" si="399"/>
        <v>OFF</v>
      </c>
      <c r="G2583" t="str">
        <f t="shared" si="399"/>
        <v>OFF</v>
      </c>
      <c r="H2583" t="str">
        <f t="shared" si="399"/>
        <v>OFF</v>
      </c>
      <c r="I2583" t="str">
        <f t="shared" si="399"/>
        <v>OFF</v>
      </c>
      <c r="J2583" t="str">
        <f t="shared" si="399"/>
        <v>OFF</v>
      </c>
      <c r="K2583" t="str">
        <f t="shared" si="399"/>
        <v>OFF</v>
      </c>
      <c r="L2583" t="str">
        <f t="shared" si="400"/>
        <v>OFF</v>
      </c>
      <c r="M2583" t="str">
        <f t="shared" si="400"/>
        <v>OFF</v>
      </c>
      <c r="N2583" t="str">
        <f t="shared" si="400"/>
        <v>OFF</v>
      </c>
      <c r="O2583" t="str">
        <f t="shared" si="400"/>
        <v>OFF</v>
      </c>
      <c r="P2583" t="str">
        <f t="shared" si="400"/>
        <v>OFF</v>
      </c>
      <c r="Q2583" t="str">
        <f t="shared" si="400"/>
        <v>OFF</v>
      </c>
      <c r="R2583" t="str">
        <f t="shared" si="400"/>
        <v>OFF</v>
      </c>
      <c r="S2583" t="str">
        <f t="shared" si="400"/>
        <v>OFF</v>
      </c>
      <c r="T2583" t="str">
        <f t="shared" si="400"/>
        <v>OFF</v>
      </c>
      <c r="U2583" t="str">
        <f t="shared" si="400"/>
        <v>OFF</v>
      </c>
      <c r="V2583" t="str">
        <f t="shared" si="401"/>
        <v>OFF</v>
      </c>
      <c r="W2583" t="str">
        <f t="shared" si="401"/>
        <v>OFF</v>
      </c>
      <c r="X2583" t="str">
        <f t="shared" si="401"/>
        <v>OFF</v>
      </c>
      <c r="Y2583" t="str">
        <f t="shared" si="401"/>
        <v>OFF</v>
      </c>
      <c r="Z2583" t="str">
        <f t="shared" si="401"/>
        <v>OFF</v>
      </c>
      <c r="AA2583" t="str">
        <f t="shared" si="401"/>
        <v>OFF</v>
      </c>
      <c r="AB2583" t="str">
        <f t="shared" si="401"/>
        <v>OFF</v>
      </c>
      <c r="AC2583" t="str">
        <f t="shared" si="401"/>
        <v>OFF</v>
      </c>
      <c r="AD2583" t="str">
        <f t="shared" si="401"/>
        <v>OFF</v>
      </c>
      <c r="AE2583" t="str">
        <f t="shared" si="401"/>
        <v>OFF</v>
      </c>
      <c r="AF2583" t="str">
        <f t="shared" si="401"/>
        <v>OFF</v>
      </c>
      <c r="AG2583" t="str">
        <f t="shared" si="401"/>
        <v>OFF</v>
      </c>
    </row>
    <row r="2584" spans="1:33">
      <c r="A2584" t="s">
        <v>3251</v>
      </c>
      <c r="B2584" t="str">
        <f t="shared" si="399"/>
        <v>OFF</v>
      </c>
      <c r="C2584" t="str">
        <f t="shared" si="399"/>
        <v>OFF</v>
      </c>
      <c r="D2584" t="str">
        <f t="shared" si="399"/>
        <v>OFF</v>
      </c>
      <c r="E2584" t="str">
        <f t="shared" si="399"/>
        <v>OFF</v>
      </c>
      <c r="F2584" t="str">
        <f t="shared" si="399"/>
        <v>OFF</v>
      </c>
      <c r="G2584" t="str">
        <f t="shared" si="399"/>
        <v>OFF</v>
      </c>
      <c r="H2584" t="str">
        <f t="shared" si="399"/>
        <v>OFF</v>
      </c>
      <c r="I2584" t="str">
        <f t="shared" si="399"/>
        <v>OFF</v>
      </c>
      <c r="J2584" t="str">
        <f t="shared" si="399"/>
        <v>OFF</v>
      </c>
      <c r="K2584" t="str">
        <f t="shared" si="399"/>
        <v>OFF</v>
      </c>
      <c r="L2584" t="str">
        <f t="shared" si="400"/>
        <v>OFF</v>
      </c>
      <c r="M2584" t="str">
        <f t="shared" si="400"/>
        <v>OFF</v>
      </c>
      <c r="N2584" t="str">
        <f t="shared" si="400"/>
        <v>OFF</v>
      </c>
      <c r="O2584" t="str">
        <f t="shared" si="400"/>
        <v>OFF</v>
      </c>
      <c r="P2584" t="str">
        <f t="shared" si="400"/>
        <v>OFF</v>
      </c>
      <c r="Q2584" t="str">
        <f t="shared" si="400"/>
        <v>OFF</v>
      </c>
      <c r="R2584" t="str">
        <f t="shared" si="400"/>
        <v>OFF</v>
      </c>
      <c r="S2584" t="str">
        <f t="shared" si="400"/>
        <v>OFF</v>
      </c>
      <c r="T2584" t="str">
        <f t="shared" si="400"/>
        <v>OFF</v>
      </c>
      <c r="U2584" t="str">
        <f t="shared" si="400"/>
        <v>OFF</v>
      </c>
      <c r="V2584" t="str">
        <f t="shared" si="401"/>
        <v>OFF</v>
      </c>
      <c r="W2584" t="str">
        <f t="shared" si="401"/>
        <v>OFF</v>
      </c>
      <c r="X2584" t="str">
        <f t="shared" si="401"/>
        <v>OFF</v>
      </c>
      <c r="Y2584" t="str">
        <f t="shared" si="401"/>
        <v>OFF</v>
      </c>
      <c r="Z2584" t="str">
        <f t="shared" si="401"/>
        <v>OFF</v>
      </c>
      <c r="AA2584" t="str">
        <f t="shared" si="401"/>
        <v>OFF</v>
      </c>
      <c r="AB2584" t="str">
        <f t="shared" si="401"/>
        <v>OFF</v>
      </c>
      <c r="AC2584" t="str">
        <f t="shared" si="401"/>
        <v>OFF</v>
      </c>
      <c r="AD2584" t="str">
        <f t="shared" si="401"/>
        <v>OFF</v>
      </c>
      <c r="AE2584" t="str">
        <f t="shared" si="401"/>
        <v>OFF</v>
      </c>
      <c r="AF2584" t="str">
        <f t="shared" si="401"/>
        <v>OFF</v>
      </c>
      <c r="AG2584" t="str">
        <f t="shared" si="401"/>
        <v>OFF</v>
      </c>
    </row>
    <row r="2585" spans="1:33">
      <c r="A2585" t="s">
        <v>3252</v>
      </c>
      <c r="B2585">
        <v>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</row>
    <row r="2586" spans="1:33">
      <c r="A2586" t="s">
        <v>3253</v>
      </c>
      <c r="B2586">
        <v>0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</row>
    <row r="2587" spans="1:33">
      <c r="A2587" t="s">
        <v>3254</v>
      </c>
      <c r="B2587">
        <v>0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</row>
    <row r="2588" spans="1:33">
      <c r="A2588" t="s">
        <v>3255</v>
      </c>
      <c r="B2588">
        <v>0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</row>
    <row r="2589" spans="1:33">
      <c r="A2589" t="s">
        <v>3256</v>
      </c>
      <c r="B2589">
        <v>0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</row>
    <row r="2590" spans="1:33">
      <c r="A2590" t="s">
        <v>3257</v>
      </c>
      <c r="B2590">
        <v>0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</row>
    <row r="2591" spans="1:33">
      <c r="A2591" t="s">
        <v>3258</v>
      </c>
      <c r="B2591">
        <v>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</row>
    <row r="2592" spans="1:33">
      <c r="A2592" t="s">
        <v>3259</v>
      </c>
      <c r="B2592">
        <v>0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</row>
    <row r="2593" spans="1:33">
      <c r="A2593" t="s">
        <v>3260</v>
      </c>
      <c r="B2593">
        <v>0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</row>
    <row r="2594" spans="1:33">
      <c r="A2594" t="s">
        <v>3261</v>
      </c>
      <c r="B2594">
        <v>0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</row>
    <row r="2595" spans="1:33">
      <c r="A2595" t="s">
        <v>3262</v>
      </c>
      <c r="B2595">
        <v>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</row>
    <row r="2596" spans="1:33">
      <c r="A2596" t="s">
        <v>3263</v>
      </c>
      <c r="B2596">
        <v>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</row>
    <row r="2597" spans="1:33">
      <c r="A2597" t="s">
        <v>3264</v>
      </c>
      <c r="B2597">
        <v>0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</row>
    <row r="2598" spans="1:33">
      <c r="A2598" t="s">
        <v>3265</v>
      </c>
      <c r="B2598">
        <v>0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</row>
    <row r="2599" spans="1:33">
      <c r="A2599" t="s">
        <v>3266</v>
      </c>
      <c r="B2599">
        <v>0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</row>
    <row r="2600" spans="1:33">
      <c r="A2600" t="s">
        <v>3267</v>
      </c>
      <c r="B2600">
        <v>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</row>
    <row r="2601" spans="1:33">
      <c r="A2601" t="s">
        <v>3268</v>
      </c>
      <c r="B2601">
        <v>0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</row>
    <row r="2602" spans="1:33">
      <c r="A2602" t="s">
        <v>3269</v>
      </c>
      <c r="B2602">
        <v>0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</row>
    <row r="2603" spans="1:33">
      <c r="A2603" t="s">
        <v>3270</v>
      </c>
      <c r="B2603" t="str">
        <f t="shared" ref="B2603:K2612" si="402">"Off"</f>
        <v>Off</v>
      </c>
      <c r="C2603" t="str">
        <f t="shared" si="402"/>
        <v>Off</v>
      </c>
      <c r="D2603" t="str">
        <f t="shared" si="402"/>
        <v>Off</v>
      </c>
      <c r="E2603" t="str">
        <f t="shared" si="402"/>
        <v>Off</v>
      </c>
      <c r="F2603" t="str">
        <f t="shared" si="402"/>
        <v>Off</v>
      </c>
      <c r="G2603" t="str">
        <f t="shared" si="402"/>
        <v>Off</v>
      </c>
      <c r="H2603" t="str">
        <f t="shared" si="402"/>
        <v>Off</v>
      </c>
      <c r="I2603" t="str">
        <f t="shared" si="402"/>
        <v>Off</v>
      </c>
      <c r="J2603" t="str">
        <f t="shared" si="402"/>
        <v>Off</v>
      </c>
      <c r="K2603" t="str">
        <f t="shared" si="402"/>
        <v>Off</v>
      </c>
      <c r="L2603" t="str">
        <f t="shared" ref="L2603:U2612" si="403">"Off"</f>
        <v>Off</v>
      </c>
      <c r="M2603" t="str">
        <f t="shared" si="403"/>
        <v>Off</v>
      </c>
      <c r="N2603" t="str">
        <f t="shared" si="403"/>
        <v>Off</v>
      </c>
      <c r="O2603" t="str">
        <f t="shared" si="403"/>
        <v>Off</v>
      </c>
      <c r="P2603" t="str">
        <f t="shared" si="403"/>
        <v>Off</v>
      </c>
      <c r="Q2603" t="str">
        <f t="shared" si="403"/>
        <v>Off</v>
      </c>
      <c r="R2603" t="str">
        <f t="shared" si="403"/>
        <v>Off</v>
      </c>
      <c r="S2603" t="str">
        <f t="shared" si="403"/>
        <v>Off</v>
      </c>
      <c r="T2603" t="str">
        <f t="shared" si="403"/>
        <v>Off</v>
      </c>
      <c r="U2603" t="str">
        <f t="shared" si="403"/>
        <v>Off</v>
      </c>
      <c r="V2603" t="str">
        <f t="shared" ref="V2603:AG2612" si="404">"Off"</f>
        <v>Off</v>
      </c>
      <c r="W2603" t="str">
        <f t="shared" si="404"/>
        <v>Off</v>
      </c>
      <c r="X2603" t="str">
        <f t="shared" si="404"/>
        <v>Off</v>
      </c>
      <c r="Y2603" t="str">
        <f t="shared" si="404"/>
        <v>Off</v>
      </c>
      <c r="Z2603" t="str">
        <f t="shared" si="404"/>
        <v>Off</v>
      </c>
      <c r="AA2603" t="str">
        <f t="shared" si="404"/>
        <v>Off</v>
      </c>
      <c r="AB2603" t="str">
        <f t="shared" si="404"/>
        <v>Off</v>
      </c>
      <c r="AC2603" t="str">
        <f t="shared" si="404"/>
        <v>Off</v>
      </c>
      <c r="AD2603" t="str">
        <f t="shared" si="404"/>
        <v>Off</v>
      </c>
      <c r="AE2603" t="str">
        <f t="shared" si="404"/>
        <v>Off</v>
      </c>
      <c r="AF2603" t="str">
        <f t="shared" si="404"/>
        <v>Off</v>
      </c>
      <c r="AG2603" t="str">
        <f t="shared" si="404"/>
        <v>Off</v>
      </c>
    </row>
    <row r="2604" spans="1:33">
      <c r="A2604" t="s">
        <v>3271</v>
      </c>
      <c r="B2604" t="str">
        <f t="shared" si="402"/>
        <v>Off</v>
      </c>
      <c r="C2604" t="str">
        <f t="shared" si="402"/>
        <v>Off</v>
      </c>
      <c r="D2604" t="str">
        <f t="shared" si="402"/>
        <v>Off</v>
      </c>
      <c r="E2604" t="str">
        <f t="shared" si="402"/>
        <v>Off</v>
      </c>
      <c r="F2604" t="str">
        <f t="shared" si="402"/>
        <v>Off</v>
      </c>
      <c r="G2604" t="str">
        <f t="shared" si="402"/>
        <v>Off</v>
      </c>
      <c r="H2604" t="str">
        <f t="shared" si="402"/>
        <v>Off</v>
      </c>
      <c r="I2604" t="str">
        <f t="shared" si="402"/>
        <v>Off</v>
      </c>
      <c r="J2604" t="str">
        <f t="shared" si="402"/>
        <v>Off</v>
      </c>
      <c r="K2604" t="str">
        <f t="shared" si="402"/>
        <v>Off</v>
      </c>
      <c r="L2604" t="str">
        <f t="shared" si="403"/>
        <v>Off</v>
      </c>
      <c r="M2604" t="str">
        <f t="shared" si="403"/>
        <v>Off</v>
      </c>
      <c r="N2604" t="str">
        <f t="shared" si="403"/>
        <v>Off</v>
      </c>
      <c r="O2604" t="str">
        <f t="shared" si="403"/>
        <v>Off</v>
      </c>
      <c r="P2604" t="str">
        <f t="shared" si="403"/>
        <v>Off</v>
      </c>
      <c r="Q2604" t="str">
        <f t="shared" si="403"/>
        <v>Off</v>
      </c>
      <c r="R2604" t="str">
        <f t="shared" si="403"/>
        <v>Off</v>
      </c>
      <c r="S2604" t="str">
        <f t="shared" si="403"/>
        <v>Off</v>
      </c>
      <c r="T2604" t="str">
        <f t="shared" si="403"/>
        <v>Off</v>
      </c>
      <c r="U2604" t="str">
        <f t="shared" si="403"/>
        <v>Off</v>
      </c>
      <c r="V2604" t="str">
        <f t="shared" si="404"/>
        <v>Off</v>
      </c>
      <c r="W2604" t="str">
        <f t="shared" si="404"/>
        <v>Off</v>
      </c>
      <c r="X2604" t="str">
        <f t="shared" si="404"/>
        <v>Off</v>
      </c>
      <c r="Y2604" t="str">
        <f t="shared" si="404"/>
        <v>Off</v>
      </c>
      <c r="Z2604" t="str">
        <f t="shared" si="404"/>
        <v>Off</v>
      </c>
      <c r="AA2604" t="str">
        <f t="shared" si="404"/>
        <v>Off</v>
      </c>
      <c r="AB2604" t="str">
        <f t="shared" si="404"/>
        <v>Off</v>
      </c>
      <c r="AC2604" t="str">
        <f t="shared" si="404"/>
        <v>Off</v>
      </c>
      <c r="AD2604" t="str">
        <f t="shared" si="404"/>
        <v>Off</v>
      </c>
      <c r="AE2604" t="str">
        <f t="shared" si="404"/>
        <v>Off</v>
      </c>
      <c r="AF2604" t="str">
        <f t="shared" si="404"/>
        <v>Off</v>
      </c>
      <c r="AG2604" t="str">
        <f t="shared" si="404"/>
        <v>Off</v>
      </c>
    </row>
    <row r="2605" spans="1:33">
      <c r="A2605" t="s">
        <v>3272</v>
      </c>
      <c r="B2605" t="str">
        <f t="shared" si="402"/>
        <v>Off</v>
      </c>
      <c r="C2605" t="str">
        <f t="shared" si="402"/>
        <v>Off</v>
      </c>
      <c r="D2605" t="str">
        <f t="shared" si="402"/>
        <v>Off</v>
      </c>
      <c r="E2605" t="str">
        <f t="shared" si="402"/>
        <v>Off</v>
      </c>
      <c r="F2605" t="str">
        <f t="shared" si="402"/>
        <v>Off</v>
      </c>
      <c r="G2605" t="str">
        <f t="shared" si="402"/>
        <v>Off</v>
      </c>
      <c r="H2605" t="str">
        <f t="shared" si="402"/>
        <v>Off</v>
      </c>
      <c r="I2605" t="str">
        <f t="shared" si="402"/>
        <v>Off</v>
      </c>
      <c r="J2605" t="str">
        <f t="shared" si="402"/>
        <v>Off</v>
      </c>
      <c r="K2605" t="str">
        <f t="shared" si="402"/>
        <v>Off</v>
      </c>
      <c r="L2605" t="str">
        <f t="shared" si="403"/>
        <v>Off</v>
      </c>
      <c r="M2605" t="str">
        <f t="shared" si="403"/>
        <v>Off</v>
      </c>
      <c r="N2605" t="str">
        <f t="shared" si="403"/>
        <v>Off</v>
      </c>
      <c r="O2605" t="str">
        <f t="shared" si="403"/>
        <v>Off</v>
      </c>
      <c r="P2605" t="str">
        <f t="shared" si="403"/>
        <v>Off</v>
      </c>
      <c r="Q2605" t="str">
        <f t="shared" si="403"/>
        <v>Off</v>
      </c>
      <c r="R2605" t="str">
        <f t="shared" si="403"/>
        <v>Off</v>
      </c>
      <c r="S2605" t="str">
        <f t="shared" si="403"/>
        <v>Off</v>
      </c>
      <c r="T2605" t="str">
        <f t="shared" si="403"/>
        <v>Off</v>
      </c>
      <c r="U2605" t="str">
        <f t="shared" si="403"/>
        <v>Off</v>
      </c>
      <c r="V2605" t="str">
        <f t="shared" si="404"/>
        <v>Off</v>
      </c>
      <c r="W2605" t="str">
        <f t="shared" si="404"/>
        <v>Off</v>
      </c>
      <c r="X2605" t="str">
        <f t="shared" si="404"/>
        <v>Off</v>
      </c>
      <c r="Y2605" t="str">
        <f t="shared" si="404"/>
        <v>Off</v>
      </c>
      <c r="Z2605" t="str">
        <f t="shared" si="404"/>
        <v>Off</v>
      </c>
      <c r="AA2605" t="str">
        <f t="shared" si="404"/>
        <v>Off</v>
      </c>
      <c r="AB2605" t="str">
        <f t="shared" si="404"/>
        <v>Off</v>
      </c>
      <c r="AC2605" t="str">
        <f t="shared" si="404"/>
        <v>Off</v>
      </c>
      <c r="AD2605" t="str">
        <f t="shared" si="404"/>
        <v>Off</v>
      </c>
      <c r="AE2605" t="str">
        <f t="shared" si="404"/>
        <v>Off</v>
      </c>
      <c r="AF2605" t="str">
        <f t="shared" si="404"/>
        <v>Off</v>
      </c>
      <c r="AG2605" t="str">
        <f t="shared" si="404"/>
        <v>Off</v>
      </c>
    </row>
    <row r="2606" spans="1:33">
      <c r="A2606" t="s">
        <v>3273</v>
      </c>
      <c r="B2606" t="str">
        <f t="shared" si="402"/>
        <v>Off</v>
      </c>
      <c r="C2606" t="str">
        <f t="shared" si="402"/>
        <v>Off</v>
      </c>
      <c r="D2606" t="str">
        <f t="shared" si="402"/>
        <v>Off</v>
      </c>
      <c r="E2606" t="str">
        <f t="shared" si="402"/>
        <v>Off</v>
      </c>
      <c r="F2606" t="str">
        <f t="shared" si="402"/>
        <v>Off</v>
      </c>
      <c r="G2606" t="str">
        <f t="shared" si="402"/>
        <v>Off</v>
      </c>
      <c r="H2606" t="str">
        <f t="shared" si="402"/>
        <v>Off</v>
      </c>
      <c r="I2606" t="str">
        <f t="shared" si="402"/>
        <v>Off</v>
      </c>
      <c r="J2606" t="str">
        <f t="shared" si="402"/>
        <v>Off</v>
      </c>
      <c r="K2606" t="str">
        <f t="shared" si="402"/>
        <v>Off</v>
      </c>
      <c r="L2606" t="str">
        <f t="shared" si="403"/>
        <v>Off</v>
      </c>
      <c r="M2606" t="str">
        <f t="shared" si="403"/>
        <v>Off</v>
      </c>
      <c r="N2606" t="str">
        <f t="shared" si="403"/>
        <v>Off</v>
      </c>
      <c r="O2606" t="str">
        <f t="shared" si="403"/>
        <v>Off</v>
      </c>
      <c r="P2606" t="str">
        <f t="shared" si="403"/>
        <v>Off</v>
      </c>
      <c r="Q2606" t="str">
        <f t="shared" si="403"/>
        <v>Off</v>
      </c>
      <c r="R2606" t="str">
        <f t="shared" si="403"/>
        <v>Off</v>
      </c>
      <c r="S2606" t="str">
        <f t="shared" si="403"/>
        <v>Off</v>
      </c>
      <c r="T2606" t="str">
        <f t="shared" si="403"/>
        <v>Off</v>
      </c>
      <c r="U2606" t="str">
        <f t="shared" si="403"/>
        <v>Off</v>
      </c>
      <c r="V2606" t="str">
        <f t="shared" si="404"/>
        <v>Off</v>
      </c>
      <c r="W2606" t="str">
        <f t="shared" si="404"/>
        <v>Off</v>
      </c>
      <c r="X2606" t="str">
        <f t="shared" si="404"/>
        <v>Off</v>
      </c>
      <c r="Y2606" t="str">
        <f t="shared" si="404"/>
        <v>Off</v>
      </c>
      <c r="Z2606" t="str">
        <f t="shared" si="404"/>
        <v>Off</v>
      </c>
      <c r="AA2606" t="str">
        <f t="shared" si="404"/>
        <v>Off</v>
      </c>
      <c r="AB2606" t="str">
        <f t="shared" si="404"/>
        <v>Off</v>
      </c>
      <c r="AC2606" t="str">
        <f t="shared" si="404"/>
        <v>Off</v>
      </c>
      <c r="AD2606" t="str">
        <f t="shared" si="404"/>
        <v>Off</v>
      </c>
      <c r="AE2606" t="str">
        <f t="shared" si="404"/>
        <v>Off</v>
      </c>
      <c r="AF2606" t="str">
        <f t="shared" si="404"/>
        <v>Off</v>
      </c>
      <c r="AG2606" t="str">
        <f t="shared" si="404"/>
        <v>Off</v>
      </c>
    </row>
    <row r="2607" spans="1:33">
      <c r="A2607" t="s">
        <v>3274</v>
      </c>
      <c r="B2607" t="str">
        <f t="shared" si="402"/>
        <v>Off</v>
      </c>
      <c r="C2607" t="str">
        <f t="shared" si="402"/>
        <v>Off</v>
      </c>
      <c r="D2607" t="str">
        <f t="shared" si="402"/>
        <v>Off</v>
      </c>
      <c r="E2607" t="str">
        <f t="shared" si="402"/>
        <v>Off</v>
      </c>
      <c r="F2607" t="str">
        <f t="shared" si="402"/>
        <v>Off</v>
      </c>
      <c r="G2607" t="str">
        <f t="shared" si="402"/>
        <v>Off</v>
      </c>
      <c r="H2607" t="str">
        <f t="shared" si="402"/>
        <v>Off</v>
      </c>
      <c r="I2607" t="str">
        <f t="shared" si="402"/>
        <v>Off</v>
      </c>
      <c r="J2607" t="str">
        <f t="shared" si="402"/>
        <v>Off</v>
      </c>
      <c r="K2607" t="str">
        <f t="shared" si="402"/>
        <v>Off</v>
      </c>
      <c r="L2607" t="str">
        <f t="shared" si="403"/>
        <v>Off</v>
      </c>
      <c r="M2607" t="str">
        <f t="shared" si="403"/>
        <v>Off</v>
      </c>
      <c r="N2607" t="str">
        <f t="shared" si="403"/>
        <v>Off</v>
      </c>
      <c r="O2607" t="str">
        <f t="shared" si="403"/>
        <v>Off</v>
      </c>
      <c r="P2607" t="str">
        <f t="shared" si="403"/>
        <v>Off</v>
      </c>
      <c r="Q2607" t="str">
        <f t="shared" si="403"/>
        <v>Off</v>
      </c>
      <c r="R2607" t="str">
        <f t="shared" si="403"/>
        <v>Off</v>
      </c>
      <c r="S2607" t="str">
        <f t="shared" si="403"/>
        <v>Off</v>
      </c>
      <c r="T2607" t="str">
        <f t="shared" si="403"/>
        <v>Off</v>
      </c>
      <c r="U2607" t="str">
        <f t="shared" si="403"/>
        <v>Off</v>
      </c>
      <c r="V2607" t="str">
        <f t="shared" si="404"/>
        <v>Off</v>
      </c>
      <c r="W2607" t="str">
        <f t="shared" si="404"/>
        <v>Off</v>
      </c>
      <c r="X2607" t="str">
        <f t="shared" si="404"/>
        <v>Off</v>
      </c>
      <c r="Y2607" t="str">
        <f t="shared" si="404"/>
        <v>Off</v>
      </c>
      <c r="Z2607" t="str">
        <f t="shared" si="404"/>
        <v>Off</v>
      </c>
      <c r="AA2607" t="str">
        <f t="shared" si="404"/>
        <v>Off</v>
      </c>
      <c r="AB2607" t="str">
        <f t="shared" si="404"/>
        <v>Off</v>
      </c>
      <c r="AC2607" t="str">
        <f t="shared" si="404"/>
        <v>Off</v>
      </c>
      <c r="AD2607" t="str">
        <f t="shared" si="404"/>
        <v>Off</v>
      </c>
      <c r="AE2607" t="str">
        <f t="shared" si="404"/>
        <v>Off</v>
      </c>
      <c r="AF2607" t="str">
        <f t="shared" si="404"/>
        <v>Off</v>
      </c>
      <c r="AG2607" t="str">
        <f t="shared" si="404"/>
        <v>Off</v>
      </c>
    </row>
    <row r="2608" spans="1:33">
      <c r="A2608" t="s">
        <v>3275</v>
      </c>
      <c r="B2608" t="str">
        <f t="shared" si="402"/>
        <v>Off</v>
      </c>
      <c r="C2608" t="str">
        <f t="shared" si="402"/>
        <v>Off</v>
      </c>
      <c r="D2608" t="str">
        <f t="shared" si="402"/>
        <v>Off</v>
      </c>
      <c r="E2608" t="str">
        <f t="shared" si="402"/>
        <v>Off</v>
      </c>
      <c r="F2608" t="str">
        <f t="shared" si="402"/>
        <v>Off</v>
      </c>
      <c r="G2608" t="str">
        <f t="shared" si="402"/>
        <v>Off</v>
      </c>
      <c r="H2608" t="str">
        <f t="shared" si="402"/>
        <v>Off</v>
      </c>
      <c r="I2608" t="str">
        <f t="shared" si="402"/>
        <v>Off</v>
      </c>
      <c r="J2608" t="str">
        <f t="shared" si="402"/>
        <v>Off</v>
      </c>
      <c r="K2608" t="str">
        <f t="shared" si="402"/>
        <v>Off</v>
      </c>
      <c r="L2608" t="str">
        <f t="shared" si="403"/>
        <v>Off</v>
      </c>
      <c r="M2608" t="str">
        <f t="shared" si="403"/>
        <v>Off</v>
      </c>
      <c r="N2608" t="str">
        <f t="shared" si="403"/>
        <v>Off</v>
      </c>
      <c r="O2608" t="str">
        <f t="shared" si="403"/>
        <v>Off</v>
      </c>
      <c r="P2608" t="str">
        <f t="shared" si="403"/>
        <v>Off</v>
      </c>
      <c r="Q2608" t="str">
        <f t="shared" si="403"/>
        <v>Off</v>
      </c>
      <c r="R2608" t="str">
        <f t="shared" si="403"/>
        <v>Off</v>
      </c>
      <c r="S2608" t="str">
        <f t="shared" si="403"/>
        <v>Off</v>
      </c>
      <c r="T2608" t="str">
        <f t="shared" si="403"/>
        <v>Off</v>
      </c>
      <c r="U2608" t="str">
        <f t="shared" si="403"/>
        <v>Off</v>
      </c>
      <c r="V2608" t="str">
        <f t="shared" si="404"/>
        <v>Off</v>
      </c>
      <c r="W2608" t="str">
        <f t="shared" si="404"/>
        <v>Off</v>
      </c>
      <c r="X2608" t="str">
        <f t="shared" si="404"/>
        <v>Off</v>
      </c>
      <c r="Y2608" t="str">
        <f t="shared" si="404"/>
        <v>Off</v>
      </c>
      <c r="Z2608" t="str">
        <f t="shared" si="404"/>
        <v>Off</v>
      </c>
      <c r="AA2608" t="str">
        <f t="shared" si="404"/>
        <v>Off</v>
      </c>
      <c r="AB2608" t="str">
        <f t="shared" si="404"/>
        <v>Off</v>
      </c>
      <c r="AC2608" t="str">
        <f t="shared" si="404"/>
        <v>Off</v>
      </c>
      <c r="AD2608" t="str">
        <f t="shared" si="404"/>
        <v>Off</v>
      </c>
      <c r="AE2608" t="str">
        <f t="shared" si="404"/>
        <v>Off</v>
      </c>
      <c r="AF2608" t="str">
        <f t="shared" si="404"/>
        <v>Off</v>
      </c>
      <c r="AG2608" t="str">
        <f t="shared" si="404"/>
        <v>Off</v>
      </c>
    </row>
    <row r="2609" spans="1:33">
      <c r="A2609" t="s">
        <v>3276</v>
      </c>
      <c r="B2609" t="str">
        <f t="shared" si="402"/>
        <v>Off</v>
      </c>
      <c r="C2609" t="str">
        <f t="shared" si="402"/>
        <v>Off</v>
      </c>
      <c r="D2609" t="str">
        <f t="shared" si="402"/>
        <v>Off</v>
      </c>
      <c r="E2609" t="str">
        <f t="shared" si="402"/>
        <v>Off</v>
      </c>
      <c r="F2609" t="str">
        <f t="shared" si="402"/>
        <v>Off</v>
      </c>
      <c r="G2609" t="str">
        <f t="shared" si="402"/>
        <v>Off</v>
      </c>
      <c r="H2609" t="str">
        <f t="shared" si="402"/>
        <v>Off</v>
      </c>
      <c r="I2609" t="str">
        <f t="shared" si="402"/>
        <v>Off</v>
      </c>
      <c r="J2609" t="str">
        <f t="shared" si="402"/>
        <v>Off</v>
      </c>
      <c r="K2609" t="str">
        <f t="shared" si="402"/>
        <v>Off</v>
      </c>
      <c r="L2609" t="str">
        <f t="shared" si="403"/>
        <v>Off</v>
      </c>
      <c r="M2609" t="str">
        <f t="shared" si="403"/>
        <v>Off</v>
      </c>
      <c r="N2609" t="str">
        <f t="shared" si="403"/>
        <v>Off</v>
      </c>
      <c r="O2609" t="str">
        <f t="shared" si="403"/>
        <v>Off</v>
      </c>
      <c r="P2609" t="str">
        <f t="shared" si="403"/>
        <v>Off</v>
      </c>
      <c r="Q2609" t="str">
        <f t="shared" si="403"/>
        <v>Off</v>
      </c>
      <c r="R2609" t="str">
        <f t="shared" si="403"/>
        <v>Off</v>
      </c>
      <c r="S2609" t="str">
        <f t="shared" si="403"/>
        <v>Off</v>
      </c>
      <c r="T2609" t="str">
        <f t="shared" si="403"/>
        <v>Off</v>
      </c>
      <c r="U2609" t="str">
        <f t="shared" si="403"/>
        <v>Off</v>
      </c>
      <c r="V2609" t="str">
        <f t="shared" si="404"/>
        <v>Off</v>
      </c>
      <c r="W2609" t="str">
        <f t="shared" si="404"/>
        <v>Off</v>
      </c>
      <c r="X2609" t="str">
        <f t="shared" si="404"/>
        <v>Off</v>
      </c>
      <c r="Y2609" t="str">
        <f t="shared" si="404"/>
        <v>Off</v>
      </c>
      <c r="Z2609" t="str">
        <f t="shared" si="404"/>
        <v>Off</v>
      </c>
      <c r="AA2609" t="str">
        <f t="shared" si="404"/>
        <v>Off</v>
      </c>
      <c r="AB2609" t="str">
        <f t="shared" si="404"/>
        <v>Off</v>
      </c>
      <c r="AC2609" t="str">
        <f t="shared" si="404"/>
        <v>Off</v>
      </c>
      <c r="AD2609" t="str">
        <f t="shared" si="404"/>
        <v>Off</v>
      </c>
      <c r="AE2609" t="str">
        <f t="shared" si="404"/>
        <v>Off</v>
      </c>
      <c r="AF2609" t="str">
        <f t="shared" si="404"/>
        <v>Off</v>
      </c>
      <c r="AG2609" t="str">
        <f t="shared" si="404"/>
        <v>Off</v>
      </c>
    </row>
    <row r="2610" spans="1:33">
      <c r="A2610" t="s">
        <v>3277</v>
      </c>
      <c r="B2610" t="str">
        <f t="shared" si="402"/>
        <v>Off</v>
      </c>
      <c r="C2610" t="str">
        <f t="shared" si="402"/>
        <v>Off</v>
      </c>
      <c r="D2610" t="str">
        <f t="shared" si="402"/>
        <v>Off</v>
      </c>
      <c r="E2610" t="str">
        <f t="shared" si="402"/>
        <v>Off</v>
      </c>
      <c r="F2610" t="str">
        <f t="shared" si="402"/>
        <v>Off</v>
      </c>
      <c r="G2610" t="str">
        <f t="shared" si="402"/>
        <v>Off</v>
      </c>
      <c r="H2610" t="str">
        <f t="shared" si="402"/>
        <v>Off</v>
      </c>
      <c r="I2610" t="str">
        <f t="shared" si="402"/>
        <v>Off</v>
      </c>
      <c r="J2610" t="str">
        <f t="shared" si="402"/>
        <v>Off</v>
      </c>
      <c r="K2610" t="str">
        <f t="shared" si="402"/>
        <v>Off</v>
      </c>
      <c r="L2610" t="str">
        <f t="shared" si="403"/>
        <v>Off</v>
      </c>
      <c r="M2610" t="str">
        <f t="shared" si="403"/>
        <v>Off</v>
      </c>
      <c r="N2610" t="str">
        <f t="shared" si="403"/>
        <v>Off</v>
      </c>
      <c r="O2610" t="str">
        <f t="shared" si="403"/>
        <v>Off</v>
      </c>
      <c r="P2610" t="str">
        <f t="shared" si="403"/>
        <v>Off</v>
      </c>
      <c r="Q2610" t="str">
        <f t="shared" si="403"/>
        <v>Off</v>
      </c>
      <c r="R2610" t="str">
        <f t="shared" si="403"/>
        <v>Off</v>
      </c>
      <c r="S2610" t="str">
        <f t="shared" si="403"/>
        <v>Off</v>
      </c>
      <c r="T2610" t="str">
        <f t="shared" si="403"/>
        <v>Off</v>
      </c>
      <c r="U2610" t="str">
        <f t="shared" si="403"/>
        <v>Off</v>
      </c>
      <c r="V2610" t="str">
        <f t="shared" si="404"/>
        <v>Off</v>
      </c>
      <c r="W2610" t="str">
        <f t="shared" si="404"/>
        <v>Off</v>
      </c>
      <c r="X2610" t="str">
        <f t="shared" si="404"/>
        <v>Off</v>
      </c>
      <c r="Y2610" t="str">
        <f t="shared" si="404"/>
        <v>Off</v>
      </c>
      <c r="Z2610" t="str">
        <f t="shared" si="404"/>
        <v>Off</v>
      </c>
      <c r="AA2610" t="str">
        <f t="shared" si="404"/>
        <v>Off</v>
      </c>
      <c r="AB2610" t="str">
        <f t="shared" si="404"/>
        <v>Off</v>
      </c>
      <c r="AC2610" t="str">
        <f t="shared" si="404"/>
        <v>Off</v>
      </c>
      <c r="AD2610" t="str">
        <f t="shared" si="404"/>
        <v>Off</v>
      </c>
      <c r="AE2610" t="str">
        <f t="shared" si="404"/>
        <v>Off</v>
      </c>
      <c r="AF2610" t="str">
        <f t="shared" si="404"/>
        <v>Off</v>
      </c>
      <c r="AG2610" t="str">
        <f t="shared" si="404"/>
        <v>Off</v>
      </c>
    </row>
    <row r="2611" spans="1:33">
      <c r="A2611" t="s">
        <v>3278</v>
      </c>
      <c r="B2611" t="str">
        <f t="shared" si="402"/>
        <v>Off</v>
      </c>
      <c r="C2611" t="str">
        <f t="shared" si="402"/>
        <v>Off</v>
      </c>
      <c r="D2611" t="str">
        <f t="shared" si="402"/>
        <v>Off</v>
      </c>
      <c r="E2611" t="str">
        <f t="shared" si="402"/>
        <v>Off</v>
      </c>
      <c r="F2611" t="str">
        <f t="shared" si="402"/>
        <v>Off</v>
      </c>
      <c r="G2611" t="str">
        <f t="shared" si="402"/>
        <v>Off</v>
      </c>
      <c r="H2611" t="str">
        <f t="shared" si="402"/>
        <v>Off</v>
      </c>
      <c r="I2611" t="str">
        <f t="shared" si="402"/>
        <v>Off</v>
      </c>
      <c r="J2611" t="str">
        <f t="shared" si="402"/>
        <v>Off</v>
      </c>
      <c r="K2611" t="str">
        <f t="shared" si="402"/>
        <v>Off</v>
      </c>
      <c r="L2611" t="str">
        <f t="shared" si="403"/>
        <v>Off</v>
      </c>
      <c r="M2611" t="str">
        <f t="shared" si="403"/>
        <v>Off</v>
      </c>
      <c r="N2611" t="str">
        <f t="shared" si="403"/>
        <v>Off</v>
      </c>
      <c r="O2611" t="str">
        <f t="shared" si="403"/>
        <v>Off</v>
      </c>
      <c r="P2611" t="str">
        <f t="shared" si="403"/>
        <v>Off</v>
      </c>
      <c r="Q2611" t="str">
        <f t="shared" si="403"/>
        <v>Off</v>
      </c>
      <c r="R2611" t="str">
        <f t="shared" si="403"/>
        <v>Off</v>
      </c>
      <c r="S2611" t="str">
        <f t="shared" si="403"/>
        <v>Off</v>
      </c>
      <c r="T2611" t="str">
        <f t="shared" si="403"/>
        <v>Off</v>
      </c>
      <c r="U2611" t="str">
        <f t="shared" si="403"/>
        <v>Off</v>
      </c>
      <c r="V2611" t="str">
        <f t="shared" si="404"/>
        <v>Off</v>
      </c>
      <c r="W2611" t="str">
        <f t="shared" si="404"/>
        <v>Off</v>
      </c>
      <c r="X2611" t="str">
        <f t="shared" si="404"/>
        <v>Off</v>
      </c>
      <c r="Y2611" t="str">
        <f t="shared" si="404"/>
        <v>Off</v>
      </c>
      <c r="Z2611" t="str">
        <f t="shared" si="404"/>
        <v>Off</v>
      </c>
      <c r="AA2611" t="str">
        <f t="shared" si="404"/>
        <v>Off</v>
      </c>
      <c r="AB2611" t="str">
        <f t="shared" si="404"/>
        <v>Off</v>
      </c>
      <c r="AC2611" t="str">
        <f t="shared" si="404"/>
        <v>Off</v>
      </c>
      <c r="AD2611" t="str">
        <f t="shared" si="404"/>
        <v>Off</v>
      </c>
      <c r="AE2611" t="str">
        <f t="shared" si="404"/>
        <v>Off</v>
      </c>
      <c r="AF2611" t="str">
        <f t="shared" si="404"/>
        <v>Off</v>
      </c>
      <c r="AG2611" t="str">
        <f t="shared" si="404"/>
        <v>Off</v>
      </c>
    </row>
    <row r="2612" spans="1:33">
      <c r="A2612" t="s">
        <v>3279</v>
      </c>
      <c r="B2612" t="str">
        <f t="shared" si="402"/>
        <v>Off</v>
      </c>
      <c r="C2612" t="str">
        <f t="shared" si="402"/>
        <v>Off</v>
      </c>
      <c r="D2612" t="str">
        <f t="shared" si="402"/>
        <v>Off</v>
      </c>
      <c r="E2612" t="str">
        <f t="shared" si="402"/>
        <v>Off</v>
      </c>
      <c r="F2612" t="str">
        <f t="shared" si="402"/>
        <v>Off</v>
      </c>
      <c r="G2612" t="str">
        <f t="shared" si="402"/>
        <v>Off</v>
      </c>
      <c r="H2612" t="str">
        <f t="shared" si="402"/>
        <v>Off</v>
      </c>
      <c r="I2612" t="str">
        <f t="shared" si="402"/>
        <v>Off</v>
      </c>
      <c r="J2612" t="str">
        <f t="shared" si="402"/>
        <v>Off</v>
      </c>
      <c r="K2612" t="str">
        <f t="shared" si="402"/>
        <v>Off</v>
      </c>
      <c r="L2612" t="str">
        <f t="shared" si="403"/>
        <v>Off</v>
      </c>
      <c r="M2612" t="str">
        <f t="shared" si="403"/>
        <v>Off</v>
      </c>
      <c r="N2612" t="str">
        <f t="shared" si="403"/>
        <v>Off</v>
      </c>
      <c r="O2612" t="str">
        <f t="shared" si="403"/>
        <v>Off</v>
      </c>
      <c r="P2612" t="str">
        <f t="shared" si="403"/>
        <v>Off</v>
      </c>
      <c r="Q2612" t="str">
        <f t="shared" si="403"/>
        <v>Off</v>
      </c>
      <c r="R2612" t="str">
        <f t="shared" si="403"/>
        <v>Off</v>
      </c>
      <c r="S2612" t="str">
        <f t="shared" si="403"/>
        <v>Off</v>
      </c>
      <c r="T2612" t="str">
        <f t="shared" si="403"/>
        <v>Off</v>
      </c>
      <c r="U2612" t="str">
        <f t="shared" si="403"/>
        <v>Off</v>
      </c>
      <c r="V2612" t="str">
        <f t="shared" si="404"/>
        <v>Off</v>
      </c>
      <c r="W2612" t="str">
        <f t="shared" si="404"/>
        <v>Off</v>
      </c>
      <c r="X2612" t="str">
        <f t="shared" si="404"/>
        <v>Off</v>
      </c>
      <c r="Y2612" t="str">
        <f t="shared" si="404"/>
        <v>Off</v>
      </c>
      <c r="Z2612" t="str">
        <f t="shared" si="404"/>
        <v>Off</v>
      </c>
      <c r="AA2612" t="str">
        <f t="shared" si="404"/>
        <v>Off</v>
      </c>
      <c r="AB2612" t="str">
        <f t="shared" si="404"/>
        <v>Off</v>
      </c>
      <c r="AC2612" t="str">
        <f t="shared" si="404"/>
        <v>Off</v>
      </c>
      <c r="AD2612" t="str">
        <f t="shared" si="404"/>
        <v>Off</v>
      </c>
      <c r="AE2612" t="str">
        <f t="shared" si="404"/>
        <v>Off</v>
      </c>
      <c r="AF2612" t="str">
        <f t="shared" si="404"/>
        <v>Off</v>
      </c>
      <c r="AG2612" t="str">
        <f t="shared" si="404"/>
        <v>Off</v>
      </c>
    </row>
    <row r="2613" spans="1:33">
      <c r="A2613" t="s">
        <v>3280</v>
      </c>
      <c r="B2613" t="str">
        <f t="shared" ref="B2613:K2618" si="405">"Off"</f>
        <v>Off</v>
      </c>
      <c r="C2613" t="str">
        <f t="shared" si="405"/>
        <v>Off</v>
      </c>
      <c r="D2613" t="str">
        <f t="shared" si="405"/>
        <v>Off</v>
      </c>
      <c r="E2613" t="str">
        <f t="shared" si="405"/>
        <v>Off</v>
      </c>
      <c r="F2613" t="str">
        <f t="shared" si="405"/>
        <v>Off</v>
      </c>
      <c r="G2613" t="str">
        <f t="shared" si="405"/>
        <v>Off</v>
      </c>
      <c r="H2613" t="str">
        <f t="shared" si="405"/>
        <v>Off</v>
      </c>
      <c r="I2613" t="str">
        <f t="shared" si="405"/>
        <v>Off</v>
      </c>
      <c r="J2613" t="str">
        <f t="shared" si="405"/>
        <v>Off</v>
      </c>
      <c r="K2613" t="str">
        <f t="shared" si="405"/>
        <v>Off</v>
      </c>
      <c r="L2613" t="str">
        <f t="shared" ref="L2613:U2618" si="406">"Off"</f>
        <v>Off</v>
      </c>
      <c r="M2613" t="str">
        <f t="shared" si="406"/>
        <v>Off</v>
      </c>
      <c r="N2613" t="str">
        <f t="shared" si="406"/>
        <v>Off</v>
      </c>
      <c r="O2613" t="str">
        <f t="shared" si="406"/>
        <v>Off</v>
      </c>
      <c r="P2613" t="str">
        <f t="shared" si="406"/>
        <v>Off</v>
      </c>
      <c r="Q2613" t="str">
        <f t="shared" si="406"/>
        <v>Off</v>
      </c>
      <c r="R2613" t="str">
        <f t="shared" si="406"/>
        <v>Off</v>
      </c>
      <c r="S2613" t="str">
        <f t="shared" si="406"/>
        <v>Off</v>
      </c>
      <c r="T2613" t="str">
        <f t="shared" si="406"/>
        <v>Off</v>
      </c>
      <c r="U2613" t="str">
        <f t="shared" si="406"/>
        <v>Off</v>
      </c>
      <c r="V2613" t="str">
        <f t="shared" ref="V2613:AG2618" si="407">"Off"</f>
        <v>Off</v>
      </c>
      <c r="W2613" t="str">
        <f t="shared" si="407"/>
        <v>Off</v>
      </c>
      <c r="X2613" t="str">
        <f t="shared" si="407"/>
        <v>Off</v>
      </c>
      <c r="Y2613" t="str">
        <f t="shared" si="407"/>
        <v>Off</v>
      </c>
      <c r="Z2613" t="str">
        <f t="shared" si="407"/>
        <v>Off</v>
      </c>
      <c r="AA2613" t="str">
        <f t="shared" si="407"/>
        <v>Off</v>
      </c>
      <c r="AB2613" t="str">
        <f t="shared" si="407"/>
        <v>Off</v>
      </c>
      <c r="AC2613" t="str">
        <f t="shared" si="407"/>
        <v>Off</v>
      </c>
      <c r="AD2613" t="str">
        <f t="shared" si="407"/>
        <v>Off</v>
      </c>
      <c r="AE2613" t="str">
        <f t="shared" si="407"/>
        <v>Off</v>
      </c>
      <c r="AF2613" t="str">
        <f t="shared" si="407"/>
        <v>Off</v>
      </c>
      <c r="AG2613" t="str">
        <f t="shared" si="407"/>
        <v>Off</v>
      </c>
    </row>
    <row r="2614" spans="1:33">
      <c r="A2614" t="s">
        <v>3281</v>
      </c>
      <c r="B2614" t="str">
        <f t="shared" si="405"/>
        <v>Off</v>
      </c>
      <c r="C2614" t="str">
        <f t="shared" si="405"/>
        <v>Off</v>
      </c>
      <c r="D2614" t="str">
        <f t="shared" si="405"/>
        <v>Off</v>
      </c>
      <c r="E2614" t="str">
        <f t="shared" si="405"/>
        <v>Off</v>
      </c>
      <c r="F2614" t="str">
        <f t="shared" si="405"/>
        <v>Off</v>
      </c>
      <c r="G2614" t="str">
        <f t="shared" si="405"/>
        <v>Off</v>
      </c>
      <c r="H2614" t="str">
        <f t="shared" si="405"/>
        <v>Off</v>
      </c>
      <c r="I2614" t="str">
        <f t="shared" si="405"/>
        <v>Off</v>
      </c>
      <c r="J2614" t="str">
        <f t="shared" si="405"/>
        <v>Off</v>
      </c>
      <c r="K2614" t="str">
        <f t="shared" si="405"/>
        <v>Off</v>
      </c>
      <c r="L2614" t="str">
        <f t="shared" si="406"/>
        <v>Off</v>
      </c>
      <c r="M2614" t="str">
        <f t="shared" si="406"/>
        <v>Off</v>
      </c>
      <c r="N2614" t="str">
        <f t="shared" si="406"/>
        <v>Off</v>
      </c>
      <c r="O2614" t="str">
        <f t="shared" si="406"/>
        <v>Off</v>
      </c>
      <c r="P2614" t="str">
        <f t="shared" si="406"/>
        <v>Off</v>
      </c>
      <c r="Q2614" t="str">
        <f t="shared" si="406"/>
        <v>Off</v>
      </c>
      <c r="R2614" t="str">
        <f t="shared" si="406"/>
        <v>Off</v>
      </c>
      <c r="S2614" t="str">
        <f t="shared" si="406"/>
        <v>Off</v>
      </c>
      <c r="T2614" t="str">
        <f t="shared" si="406"/>
        <v>Off</v>
      </c>
      <c r="U2614" t="str">
        <f t="shared" si="406"/>
        <v>Off</v>
      </c>
      <c r="V2614" t="str">
        <f t="shared" si="407"/>
        <v>Off</v>
      </c>
      <c r="W2614" t="str">
        <f t="shared" si="407"/>
        <v>Off</v>
      </c>
      <c r="X2614" t="str">
        <f t="shared" si="407"/>
        <v>Off</v>
      </c>
      <c r="Y2614" t="str">
        <f t="shared" si="407"/>
        <v>Off</v>
      </c>
      <c r="Z2614" t="str">
        <f t="shared" si="407"/>
        <v>Off</v>
      </c>
      <c r="AA2614" t="str">
        <f t="shared" si="407"/>
        <v>Off</v>
      </c>
      <c r="AB2614" t="str">
        <f t="shared" si="407"/>
        <v>Off</v>
      </c>
      <c r="AC2614" t="str">
        <f t="shared" si="407"/>
        <v>Off</v>
      </c>
      <c r="AD2614" t="str">
        <f t="shared" si="407"/>
        <v>Off</v>
      </c>
      <c r="AE2614" t="str">
        <f t="shared" si="407"/>
        <v>Off</v>
      </c>
      <c r="AF2614" t="str">
        <f t="shared" si="407"/>
        <v>Off</v>
      </c>
      <c r="AG2614" t="str">
        <f t="shared" si="407"/>
        <v>Off</v>
      </c>
    </row>
    <row r="2615" spans="1:33">
      <c r="A2615" t="s">
        <v>3282</v>
      </c>
      <c r="B2615" t="str">
        <f t="shared" si="405"/>
        <v>Off</v>
      </c>
      <c r="C2615" t="str">
        <f t="shared" si="405"/>
        <v>Off</v>
      </c>
      <c r="D2615" t="str">
        <f t="shared" si="405"/>
        <v>Off</v>
      </c>
      <c r="E2615" t="str">
        <f t="shared" si="405"/>
        <v>Off</v>
      </c>
      <c r="F2615" t="str">
        <f t="shared" si="405"/>
        <v>Off</v>
      </c>
      <c r="G2615" t="str">
        <f t="shared" si="405"/>
        <v>Off</v>
      </c>
      <c r="H2615" t="str">
        <f t="shared" si="405"/>
        <v>Off</v>
      </c>
      <c r="I2615" t="str">
        <f t="shared" si="405"/>
        <v>Off</v>
      </c>
      <c r="J2615" t="str">
        <f t="shared" si="405"/>
        <v>Off</v>
      </c>
      <c r="K2615" t="str">
        <f t="shared" si="405"/>
        <v>Off</v>
      </c>
      <c r="L2615" t="str">
        <f t="shared" si="406"/>
        <v>Off</v>
      </c>
      <c r="M2615" t="str">
        <f t="shared" si="406"/>
        <v>Off</v>
      </c>
      <c r="N2615" t="str">
        <f t="shared" si="406"/>
        <v>Off</v>
      </c>
      <c r="O2615" t="str">
        <f t="shared" si="406"/>
        <v>Off</v>
      </c>
      <c r="P2615" t="str">
        <f t="shared" si="406"/>
        <v>Off</v>
      </c>
      <c r="Q2615" t="str">
        <f t="shared" si="406"/>
        <v>Off</v>
      </c>
      <c r="R2615" t="str">
        <f t="shared" si="406"/>
        <v>Off</v>
      </c>
      <c r="S2615" t="str">
        <f t="shared" si="406"/>
        <v>Off</v>
      </c>
      <c r="T2615" t="str">
        <f t="shared" si="406"/>
        <v>Off</v>
      </c>
      <c r="U2615" t="str">
        <f t="shared" si="406"/>
        <v>Off</v>
      </c>
      <c r="V2615" t="str">
        <f t="shared" si="407"/>
        <v>Off</v>
      </c>
      <c r="W2615" t="str">
        <f t="shared" si="407"/>
        <v>Off</v>
      </c>
      <c r="X2615" t="str">
        <f t="shared" si="407"/>
        <v>Off</v>
      </c>
      <c r="Y2615" t="str">
        <f t="shared" si="407"/>
        <v>Off</v>
      </c>
      <c r="Z2615" t="str">
        <f t="shared" si="407"/>
        <v>Off</v>
      </c>
      <c r="AA2615" t="str">
        <f t="shared" si="407"/>
        <v>Off</v>
      </c>
      <c r="AB2615" t="str">
        <f t="shared" si="407"/>
        <v>Off</v>
      </c>
      <c r="AC2615" t="str">
        <f t="shared" si="407"/>
        <v>Off</v>
      </c>
      <c r="AD2615" t="str">
        <f t="shared" si="407"/>
        <v>Off</v>
      </c>
      <c r="AE2615" t="str">
        <f t="shared" si="407"/>
        <v>Off</v>
      </c>
      <c r="AF2615" t="str">
        <f t="shared" si="407"/>
        <v>Off</v>
      </c>
      <c r="AG2615" t="str">
        <f t="shared" si="407"/>
        <v>Off</v>
      </c>
    </row>
    <row r="2616" spans="1:33">
      <c r="A2616" t="s">
        <v>3283</v>
      </c>
      <c r="B2616" t="str">
        <f t="shared" si="405"/>
        <v>Off</v>
      </c>
      <c r="C2616" t="str">
        <f t="shared" si="405"/>
        <v>Off</v>
      </c>
      <c r="D2616" t="str">
        <f t="shared" si="405"/>
        <v>Off</v>
      </c>
      <c r="E2616" t="str">
        <f t="shared" si="405"/>
        <v>Off</v>
      </c>
      <c r="F2616" t="str">
        <f t="shared" si="405"/>
        <v>Off</v>
      </c>
      <c r="G2616" t="str">
        <f t="shared" si="405"/>
        <v>Off</v>
      </c>
      <c r="H2616" t="str">
        <f t="shared" si="405"/>
        <v>Off</v>
      </c>
      <c r="I2616" t="str">
        <f t="shared" si="405"/>
        <v>Off</v>
      </c>
      <c r="J2616" t="str">
        <f t="shared" si="405"/>
        <v>Off</v>
      </c>
      <c r="K2616" t="str">
        <f t="shared" si="405"/>
        <v>Off</v>
      </c>
      <c r="L2616" t="str">
        <f t="shared" si="406"/>
        <v>Off</v>
      </c>
      <c r="M2616" t="str">
        <f t="shared" si="406"/>
        <v>Off</v>
      </c>
      <c r="N2616" t="str">
        <f t="shared" si="406"/>
        <v>Off</v>
      </c>
      <c r="O2616" t="str">
        <f t="shared" si="406"/>
        <v>Off</v>
      </c>
      <c r="P2616" t="str">
        <f t="shared" si="406"/>
        <v>Off</v>
      </c>
      <c r="Q2616" t="str">
        <f t="shared" si="406"/>
        <v>Off</v>
      </c>
      <c r="R2616" t="str">
        <f t="shared" si="406"/>
        <v>Off</v>
      </c>
      <c r="S2616" t="str">
        <f t="shared" si="406"/>
        <v>Off</v>
      </c>
      <c r="T2616" t="str">
        <f t="shared" si="406"/>
        <v>Off</v>
      </c>
      <c r="U2616" t="str">
        <f t="shared" si="406"/>
        <v>Off</v>
      </c>
      <c r="V2616" t="str">
        <f t="shared" si="407"/>
        <v>Off</v>
      </c>
      <c r="W2616" t="str">
        <f t="shared" si="407"/>
        <v>Off</v>
      </c>
      <c r="X2616" t="str">
        <f t="shared" si="407"/>
        <v>Off</v>
      </c>
      <c r="Y2616" t="str">
        <f t="shared" si="407"/>
        <v>Off</v>
      </c>
      <c r="Z2616" t="str">
        <f t="shared" si="407"/>
        <v>Off</v>
      </c>
      <c r="AA2616" t="str">
        <f t="shared" si="407"/>
        <v>Off</v>
      </c>
      <c r="AB2616" t="str">
        <f t="shared" si="407"/>
        <v>Off</v>
      </c>
      <c r="AC2616" t="str">
        <f t="shared" si="407"/>
        <v>Off</v>
      </c>
      <c r="AD2616" t="str">
        <f t="shared" si="407"/>
        <v>Off</v>
      </c>
      <c r="AE2616" t="str">
        <f t="shared" si="407"/>
        <v>Off</v>
      </c>
      <c r="AF2616" t="str">
        <f t="shared" si="407"/>
        <v>Off</v>
      </c>
      <c r="AG2616" t="str">
        <f t="shared" si="407"/>
        <v>Off</v>
      </c>
    </row>
    <row r="2617" spans="1:33">
      <c r="A2617" t="s">
        <v>3284</v>
      </c>
      <c r="B2617" t="str">
        <f t="shared" si="405"/>
        <v>Off</v>
      </c>
      <c r="C2617" t="str">
        <f t="shared" si="405"/>
        <v>Off</v>
      </c>
      <c r="D2617" t="str">
        <f t="shared" si="405"/>
        <v>Off</v>
      </c>
      <c r="E2617" t="str">
        <f t="shared" si="405"/>
        <v>Off</v>
      </c>
      <c r="F2617" t="str">
        <f t="shared" si="405"/>
        <v>Off</v>
      </c>
      <c r="G2617" t="str">
        <f t="shared" si="405"/>
        <v>Off</v>
      </c>
      <c r="H2617" t="str">
        <f t="shared" si="405"/>
        <v>Off</v>
      </c>
      <c r="I2617" t="str">
        <f t="shared" si="405"/>
        <v>Off</v>
      </c>
      <c r="J2617" t="str">
        <f t="shared" si="405"/>
        <v>Off</v>
      </c>
      <c r="K2617" t="str">
        <f t="shared" si="405"/>
        <v>Off</v>
      </c>
      <c r="L2617" t="str">
        <f t="shared" si="406"/>
        <v>Off</v>
      </c>
      <c r="M2617" t="str">
        <f t="shared" si="406"/>
        <v>Off</v>
      </c>
      <c r="N2617" t="str">
        <f t="shared" si="406"/>
        <v>Off</v>
      </c>
      <c r="O2617" t="str">
        <f t="shared" si="406"/>
        <v>Off</v>
      </c>
      <c r="P2617" t="str">
        <f t="shared" si="406"/>
        <v>Off</v>
      </c>
      <c r="Q2617" t="str">
        <f t="shared" si="406"/>
        <v>Off</v>
      </c>
      <c r="R2617" t="str">
        <f t="shared" si="406"/>
        <v>Off</v>
      </c>
      <c r="S2617" t="str">
        <f t="shared" si="406"/>
        <v>Off</v>
      </c>
      <c r="T2617" t="str">
        <f t="shared" si="406"/>
        <v>Off</v>
      </c>
      <c r="U2617" t="str">
        <f t="shared" si="406"/>
        <v>Off</v>
      </c>
      <c r="V2617" t="str">
        <f t="shared" si="407"/>
        <v>Off</v>
      </c>
      <c r="W2617" t="str">
        <f t="shared" si="407"/>
        <v>Off</v>
      </c>
      <c r="X2617" t="str">
        <f t="shared" si="407"/>
        <v>Off</v>
      </c>
      <c r="Y2617" t="str">
        <f t="shared" si="407"/>
        <v>Off</v>
      </c>
      <c r="Z2617" t="str">
        <f t="shared" si="407"/>
        <v>Off</v>
      </c>
      <c r="AA2617" t="str">
        <f t="shared" si="407"/>
        <v>Off</v>
      </c>
      <c r="AB2617" t="str">
        <f t="shared" si="407"/>
        <v>Off</v>
      </c>
      <c r="AC2617" t="str">
        <f t="shared" si="407"/>
        <v>Off</v>
      </c>
      <c r="AD2617" t="str">
        <f t="shared" si="407"/>
        <v>Off</v>
      </c>
      <c r="AE2617" t="str">
        <f t="shared" si="407"/>
        <v>Off</v>
      </c>
      <c r="AF2617" t="str">
        <f t="shared" si="407"/>
        <v>Off</v>
      </c>
      <c r="AG2617" t="str">
        <f t="shared" si="407"/>
        <v>Off</v>
      </c>
    </row>
    <row r="2618" spans="1:33">
      <c r="A2618" t="s">
        <v>3285</v>
      </c>
      <c r="B2618" t="str">
        <f t="shared" si="405"/>
        <v>Off</v>
      </c>
      <c r="C2618" t="str">
        <f t="shared" si="405"/>
        <v>Off</v>
      </c>
      <c r="D2618" t="str">
        <f t="shared" si="405"/>
        <v>Off</v>
      </c>
      <c r="E2618" t="str">
        <f t="shared" si="405"/>
        <v>Off</v>
      </c>
      <c r="F2618" t="str">
        <f t="shared" si="405"/>
        <v>Off</v>
      </c>
      <c r="G2618" t="str">
        <f t="shared" si="405"/>
        <v>Off</v>
      </c>
      <c r="H2618" t="str">
        <f t="shared" si="405"/>
        <v>Off</v>
      </c>
      <c r="I2618" t="str">
        <f t="shared" si="405"/>
        <v>Off</v>
      </c>
      <c r="J2618" t="str">
        <f t="shared" si="405"/>
        <v>Off</v>
      </c>
      <c r="K2618" t="str">
        <f t="shared" si="405"/>
        <v>Off</v>
      </c>
      <c r="L2618" t="str">
        <f t="shared" si="406"/>
        <v>Off</v>
      </c>
      <c r="M2618" t="str">
        <f t="shared" si="406"/>
        <v>Off</v>
      </c>
      <c r="N2618" t="str">
        <f t="shared" si="406"/>
        <v>Off</v>
      </c>
      <c r="O2618" t="str">
        <f t="shared" si="406"/>
        <v>Off</v>
      </c>
      <c r="P2618" t="str">
        <f t="shared" si="406"/>
        <v>Off</v>
      </c>
      <c r="Q2618" t="str">
        <f t="shared" si="406"/>
        <v>Off</v>
      </c>
      <c r="R2618" t="str">
        <f t="shared" si="406"/>
        <v>Off</v>
      </c>
      <c r="S2618" t="str">
        <f t="shared" si="406"/>
        <v>Off</v>
      </c>
      <c r="T2618" t="str">
        <f t="shared" si="406"/>
        <v>Off</v>
      </c>
      <c r="U2618" t="str">
        <f t="shared" si="406"/>
        <v>Off</v>
      </c>
      <c r="V2618" t="str">
        <f t="shared" si="407"/>
        <v>Off</v>
      </c>
      <c r="W2618" t="str">
        <f t="shared" si="407"/>
        <v>Off</v>
      </c>
      <c r="X2618" t="str">
        <f t="shared" si="407"/>
        <v>Off</v>
      </c>
      <c r="Y2618" t="str">
        <f t="shared" si="407"/>
        <v>Off</v>
      </c>
      <c r="Z2618" t="str">
        <f t="shared" si="407"/>
        <v>Off</v>
      </c>
      <c r="AA2618" t="str">
        <f t="shared" si="407"/>
        <v>Off</v>
      </c>
      <c r="AB2618" t="str">
        <f t="shared" si="407"/>
        <v>Off</v>
      </c>
      <c r="AC2618" t="str">
        <f t="shared" si="407"/>
        <v>Off</v>
      </c>
      <c r="AD2618" t="str">
        <f t="shared" si="407"/>
        <v>Off</v>
      </c>
      <c r="AE2618" t="str">
        <f t="shared" si="407"/>
        <v>Off</v>
      </c>
      <c r="AF2618" t="str">
        <f t="shared" si="407"/>
        <v>Off</v>
      </c>
      <c r="AG2618" t="str">
        <f t="shared" si="407"/>
        <v>Off</v>
      </c>
    </row>
    <row r="2619" spans="1:33">
      <c r="A2619" t="s">
        <v>3286</v>
      </c>
      <c r="B2619">
        <v>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</row>
    <row r="2620" spans="1:33">
      <c r="A2620" t="s">
        <v>3287</v>
      </c>
      <c r="B2620">
        <v>0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</row>
    <row r="2621" spans="1:33">
      <c r="A2621" t="s">
        <v>3288</v>
      </c>
      <c r="B2621" t="str">
        <f t="shared" ref="B2621:K2630" si="408">"Off"</f>
        <v>Off</v>
      </c>
      <c r="C2621" t="str">
        <f t="shared" si="408"/>
        <v>Off</v>
      </c>
      <c r="D2621" t="str">
        <f t="shared" si="408"/>
        <v>Off</v>
      </c>
      <c r="E2621" t="str">
        <f t="shared" si="408"/>
        <v>Off</v>
      </c>
      <c r="F2621" t="str">
        <f t="shared" si="408"/>
        <v>Off</v>
      </c>
      <c r="G2621" t="str">
        <f t="shared" si="408"/>
        <v>Off</v>
      </c>
      <c r="H2621" t="str">
        <f t="shared" si="408"/>
        <v>Off</v>
      </c>
      <c r="I2621" t="str">
        <f t="shared" si="408"/>
        <v>Off</v>
      </c>
      <c r="J2621" t="str">
        <f t="shared" si="408"/>
        <v>Off</v>
      </c>
      <c r="K2621" t="str">
        <f t="shared" si="408"/>
        <v>Off</v>
      </c>
      <c r="L2621" t="str">
        <f t="shared" ref="L2621:U2630" si="409">"Off"</f>
        <v>Off</v>
      </c>
      <c r="M2621" t="str">
        <f t="shared" si="409"/>
        <v>Off</v>
      </c>
      <c r="N2621" t="str">
        <f t="shared" si="409"/>
        <v>Off</v>
      </c>
      <c r="O2621" t="str">
        <f t="shared" si="409"/>
        <v>Off</v>
      </c>
      <c r="P2621" t="str">
        <f t="shared" si="409"/>
        <v>Off</v>
      </c>
      <c r="Q2621" t="str">
        <f t="shared" si="409"/>
        <v>Off</v>
      </c>
      <c r="R2621" t="str">
        <f t="shared" si="409"/>
        <v>Off</v>
      </c>
      <c r="S2621" t="str">
        <f t="shared" si="409"/>
        <v>Off</v>
      </c>
      <c r="T2621" t="str">
        <f t="shared" si="409"/>
        <v>Off</v>
      </c>
      <c r="U2621" t="str">
        <f t="shared" si="409"/>
        <v>Off</v>
      </c>
      <c r="V2621" t="str">
        <f t="shared" ref="V2621:AG2630" si="410">"Off"</f>
        <v>Off</v>
      </c>
      <c r="W2621" t="str">
        <f t="shared" si="410"/>
        <v>Off</v>
      </c>
      <c r="X2621" t="str">
        <f t="shared" si="410"/>
        <v>Off</v>
      </c>
      <c r="Y2621" t="str">
        <f t="shared" si="410"/>
        <v>Off</v>
      </c>
      <c r="Z2621" t="str">
        <f t="shared" si="410"/>
        <v>Off</v>
      </c>
      <c r="AA2621" t="str">
        <f t="shared" si="410"/>
        <v>Off</v>
      </c>
      <c r="AB2621" t="str">
        <f t="shared" si="410"/>
        <v>Off</v>
      </c>
      <c r="AC2621" t="str">
        <f t="shared" si="410"/>
        <v>Off</v>
      </c>
      <c r="AD2621" t="str">
        <f t="shared" si="410"/>
        <v>Off</v>
      </c>
      <c r="AE2621" t="str">
        <f t="shared" si="410"/>
        <v>Off</v>
      </c>
      <c r="AF2621" t="str">
        <f t="shared" si="410"/>
        <v>Off</v>
      </c>
      <c r="AG2621" t="str">
        <f t="shared" si="410"/>
        <v>Off</v>
      </c>
    </row>
    <row r="2622" spans="1:33">
      <c r="A2622" t="s">
        <v>3289</v>
      </c>
      <c r="B2622" t="str">
        <f t="shared" si="408"/>
        <v>Off</v>
      </c>
      <c r="C2622" t="str">
        <f t="shared" si="408"/>
        <v>Off</v>
      </c>
      <c r="D2622" t="str">
        <f t="shared" si="408"/>
        <v>Off</v>
      </c>
      <c r="E2622" t="str">
        <f t="shared" si="408"/>
        <v>Off</v>
      </c>
      <c r="F2622" t="str">
        <f t="shared" si="408"/>
        <v>Off</v>
      </c>
      <c r="G2622" t="str">
        <f t="shared" si="408"/>
        <v>Off</v>
      </c>
      <c r="H2622" t="str">
        <f t="shared" si="408"/>
        <v>Off</v>
      </c>
      <c r="I2622" t="str">
        <f t="shared" si="408"/>
        <v>Off</v>
      </c>
      <c r="J2622" t="str">
        <f t="shared" si="408"/>
        <v>Off</v>
      </c>
      <c r="K2622" t="str">
        <f t="shared" si="408"/>
        <v>Off</v>
      </c>
      <c r="L2622" t="str">
        <f t="shared" si="409"/>
        <v>Off</v>
      </c>
      <c r="M2622" t="str">
        <f t="shared" si="409"/>
        <v>Off</v>
      </c>
      <c r="N2622" t="str">
        <f t="shared" si="409"/>
        <v>Off</v>
      </c>
      <c r="O2622" t="str">
        <f t="shared" si="409"/>
        <v>Off</v>
      </c>
      <c r="P2622" t="str">
        <f t="shared" si="409"/>
        <v>Off</v>
      </c>
      <c r="Q2622" t="str">
        <f t="shared" si="409"/>
        <v>Off</v>
      </c>
      <c r="R2622" t="str">
        <f t="shared" si="409"/>
        <v>Off</v>
      </c>
      <c r="S2622" t="str">
        <f t="shared" si="409"/>
        <v>Off</v>
      </c>
      <c r="T2622" t="str">
        <f t="shared" si="409"/>
        <v>Off</v>
      </c>
      <c r="U2622" t="str">
        <f t="shared" si="409"/>
        <v>Off</v>
      </c>
      <c r="V2622" t="str">
        <f t="shared" si="410"/>
        <v>Off</v>
      </c>
      <c r="W2622" t="str">
        <f t="shared" si="410"/>
        <v>Off</v>
      </c>
      <c r="X2622" t="str">
        <f t="shared" si="410"/>
        <v>Off</v>
      </c>
      <c r="Y2622" t="str">
        <f t="shared" si="410"/>
        <v>Off</v>
      </c>
      <c r="Z2622" t="str">
        <f t="shared" si="410"/>
        <v>Off</v>
      </c>
      <c r="AA2622" t="str">
        <f t="shared" si="410"/>
        <v>Off</v>
      </c>
      <c r="AB2622" t="str">
        <f t="shared" si="410"/>
        <v>Off</v>
      </c>
      <c r="AC2622" t="str">
        <f t="shared" si="410"/>
        <v>Off</v>
      </c>
      <c r="AD2622" t="str">
        <f t="shared" si="410"/>
        <v>Off</v>
      </c>
      <c r="AE2622" t="str">
        <f t="shared" si="410"/>
        <v>Off</v>
      </c>
      <c r="AF2622" t="str">
        <f t="shared" si="410"/>
        <v>Off</v>
      </c>
      <c r="AG2622" t="str">
        <f t="shared" si="410"/>
        <v>Off</v>
      </c>
    </row>
    <row r="2623" spans="1:33">
      <c r="A2623" t="s">
        <v>3290</v>
      </c>
      <c r="B2623" t="str">
        <f t="shared" si="408"/>
        <v>Off</v>
      </c>
      <c r="C2623" t="str">
        <f t="shared" si="408"/>
        <v>Off</v>
      </c>
      <c r="D2623" t="str">
        <f t="shared" si="408"/>
        <v>Off</v>
      </c>
      <c r="E2623" t="str">
        <f t="shared" si="408"/>
        <v>Off</v>
      </c>
      <c r="F2623" t="str">
        <f t="shared" si="408"/>
        <v>Off</v>
      </c>
      <c r="G2623" t="str">
        <f t="shared" si="408"/>
        <v>Off</v>
      </c>
      <c r="H2623" t="str">
        <f t="shared" si="408"/>
        <v>Off</v>
      </c>
      <c r="I2623" t="str">
        <f t="shared" si="408"/>
        <v>Off</v>
      </c>
      <c r="J2623" t="str">
        <f t="shared" si="408"/>
        <v>Off</v>
      </c>
      <c r="K2623" t="str">
        <f t="shared" si="408"/>
        <v>Off</v>
      </c>
      <c r="L2623" t="str">
        <f t="shared" si="409"/>
        <v>Off</v>
      </c>
      <c r="M2623" t="str">
        <f t="shared" si="409"/>
        <v>Off</v>
      </c>
      <c r="N2623" t="str">
        <f t="shared" si="409"/>
        <v>Off</v>
      </c>
      <c r="O2623" t="str">
        <f t="shared" si="409"/>
        <v>Off</v>
      </c>
      <c r="P2623" t="str">
        <f t="shared" si="409"/>
        <v>Off</v>
      </c>
      <c r="Q2623" t="str">
        <f t="shared" si="409"/>
        <v>Off</v>
      </c>
      <c r="R2623" t="str">
        <f t="shared" si="409"/>
        <v>Off</v>
      </c>
      <c r="S2623" t="str">
        <f t="shared" si="409"/>
        <v>Off</v>
      </c>
      <c r="T2623" t="str">
        <f t="shared" si="409"/>
        <v>Off</v>
      </c>
      <c r="U2623" t="str">
        <f t="shared" si="409"/>
        <v>Off</v>
      </c>
      <c r="V2623" t="str">
        <f t="shared" si="410"/>
        <v>Off</v>
      </c>
      <c r="W2623" t="str">
        <f t="shared" si="410"/>
        <v>Off</v>
      </c>
      <c r="X2623" t="str">
        <f t="shared" si="410"/>
        <v>Off</v>
      </c>
      <c r="Y2623" t="str">
        <f t="shared" si="410"/>
        <v>Off</v>
      </c>
      <c r="Z2623" t="str">
        <f t="shared" si="410"/>
        <v>Off</v>
      </c>
      <c r="AA2623" t="str">
        <f t="shared" si="410"/>
        <v>Off</v>
      </c>
      <c r="AB2623" t="str">
        <f t="shared" si="410"/>
        <v>Off</v>
      </c>
      <c r="AC2623" t="str">
        <f t="shared" si="410"/>
        <v>Off</v>
      </c>
      <c r="AD2623" t="str">
        <f t="shared" si="410"/>
        <v>Off</v>
      </c>
      <c r="AE2623" t="str">
        <f t="shared" si="410"/>
        <v>Off</v>
      </c>
      <c r="AF2623" t="str">
        <f t="shared" si="410"/>
        <v>Off</v>
      </c>
      <c r="AG2623" t="str">
        <f t="shared" si="410"/>
        <v>Off</v>
      </c>
    </row>
    <row r="2624" spans="1:33">
      <c r="A2624" t="s">
        <v>3291</v>
      </c>
      <c r="B2624" t="str">
        <f t="shared" si="408"/>
        <v>Off</v>
      </c>
      <c r="C2624" t="str">
        <f t="shared" si="408"/>
        <v>Off</v>
      </c>
      <c r="D2624" t="str">
        <f t="shared" si="408"/>
        <v>Off</v>
      </c>
      <c r="E2624" t="str">
        <f t="shared" si="408"/>
        <v>Off</v>
      </c>
      <c r="F2624" t="str">
        <f t="shared" si="408"/>
        <v>Off</v>
      </c>
      <c r="G2624" t="str">
        <f t="shared" si="408"/>
        <v>Off</v>
      </c>
      <c r="H2624" t="str">
        <f t="shared" si="408"/>
        <v>Off</v>
      </c>
      <c r="I2624" t="str">
        <f t="shared" si="408"/>
        <v>Off</v>
      </c>
      <c r="J2624" t="str">
        <f t="shared" si="408"/>
        <v>Off</v>
      </c>
      <c r="K2624" t="str">
        <f t="shared" si="408"/>
        <v>Off</v>
      </c>
      <c r="L2624" t="str">
        <f t="shared" si="409"/>
        <v>Off</v>
      </c>
      <c r="M2624" t="str">
        <f t="shared" si="409"/>
        <v>Off</v>
      </c>
      <c r="N2624" t="str">
        <f t="shared" si="409"/>
        <v>Off</v>
      </c>
      <c r="O2624" t="str">
        <f t="shared" si="409"/>
        <v>Off</v>
      </c>
      <c r="P2624" t="str">
        <f t="shared" si="409"/>
        <v>Off</v>
      </c>
      <c r="Q2624" t="str">
        <f t="shared" si="409"/>
        <v>Off</v>
      </c>
      <c r="R2624" t="str">
        <f t="shared" si="409"/>
        <v>Off</v>
      </c>
      <c r="S2624" t="str">
        <f t="shared" si="409"/>
        <v>Off</v>
      </c>
      <c r="T2624" t="str">
        <f t="shared" si="409"/>
        <v>Off</v>
      </c>
      <c r="U2624" t="str">
        <f t="shared" si="409"/>
        <v>Off</v>
      </c>
      <c r="V2624" t="str">
        <f t="shared" si="410"/>
        <v>Off</v>
      </c>
      <c r="W2624" t="str">
        <f t="shared" si="410"/>
        <v>Off</v>
      </c>
      <c r="X2624" t="str">
        <f t="shared" si="410"/>
        <v>Off</v>
      </c>
      <c r="Y2624" t="str">
        <f t="shared" si="410"/>
        <v>Off</v>
      </c>
      <c r="Z2624" t="str">
        <f t="shared" si="410"/>
        <v>Off</v>
      </c>
      <c r="AA2624" t="str">
        <f t="shared" si="410"/>
        <v>Off</v>
      </c>
      <c r="AB2624" t="str">
        <f t="shared" si="410"/>
        <v>Off</v>
      </c>
      <c r="AC2624" t="str">
        <f t="shared" si="410"/>
        <v>Off</v>
      </c>
      <c r="AD2624" t="str">
        <f t="shared" si="410"/>
        <v>Off</v>
      </c>
      <c r="AE2624" t="str">
        <f t="shared" si="410"/>
        <v>Off</v>
      </c>
      <c r="AF2624" t="str">
        <f t="shared" si="410"/>
        <v>Off</v>
      </c>
      <c r="AG2624" t="str">
        <f t="shared" si="410"/>
        <v>Off</v>
      </c>
    </row>
    <row r="2625" spans="1:33">
      <c r="A2625" t="s">
        <v>3292</v>
      </c>
      <c r="B2625" t="str">
        <f t="shared" si="408"/>
        <v>Off</v>
      </c>
      <c r="C2625" t="str">
        <f t="shared" si="408"/>
        <v>Off</v>
      </c>
      <c r="D2625" t="str">
        <f t="shared" si="408"/>
        <v>Off</v>
      </c>
      <c r="E2625" t="str">
        <f t="shared" si="408"/>
        <v>Off</v>
      </c>
      <c r="F2625" t="str">
        <f t="shared" si="408"/>
        <v>Off</v>
      </c>
      <c r="G2625" t="str">
        <f t="shared" si="408"/>
        <v>Off</v>
      </c>
      <c r="H2625" t="str">
        <f t="shared" si="408"/>
        <v>Off</v>
      </c>
      <c r="I2625" t="str">
        <f t="shared" si="408"/>
        <v>Off</v>
      </c>
      <c r="J2625" t="str">
        <f t="shared" si="408"/>
        <v>Off</v>
      </c>
      <c r="K2625" t="str">
        <f t="shared" si="408"/>
        <v>Off</v>
      </c>
      <c r="L2625" t="str">
        <f t="shared" si="409"/>
        <v>Off</v>
      </c>
      <c r="M2625" t="str">
        <f t="shared" si="409"/>
        <v>Off</v>
      </c>
      <c r="N2625" t="str">
        <f t="shared" si="409"/>
        <v>Off</v>
      </c>
      <c r="O2625" t="str">
        <f t="shared" si="409"/>
        <v>Off</v>
      </c>
      <c r="P2625" t="str">
        <f t="shared" si="409"/>
        <v>Off</v>
      </c>
      <c r="Q2625" t="str">
        <f t="shared" si="409"/>
        <v>Off</v>
      </c>
      <c r="R2625" t="str">
        <f t="shared" si="409"/>
        <v>Off</v>
      </c>
      <c r="S2625" t="str">
        <f t="shared" si="409"/>
        <v>Off</v>
      </c>
      <c r="T2625" t="str">
        <f t="shared" si="409"/>
        <v>Off</v>
      </c>
      <c r="U2625" t="str">
        <f t="shared" si="409"/>
        <v>Off</v>
      </c>
      <c r="V2625" t="str">
        <f t="shared" si="410"/>
        <v>Off</v>
      </c>
      <c r="W2625" t="str">
        <f t="shared" si="410"/>
        <v>Off</v>
      </c>
      <c r="X2625" t="str">
        <f t="shared" si="410"/>
        <v>Off</v>
      </c>
      <c r="Y2625" t="str">
        <f t="shared" si="410"/>
        <v>Off</v>
      </c>
      <c r="Z2625" t="str">
        <f t="shared" si="410"/>
        <v>Off</v>
      </c>
      <c r="AA2625" t="str">
        <f t="shared" si="410"/>
        <v>Off</v>
      </c>
      <c r="AB2625" t="str">
        <f t="shared" si="410"/>
        <v>Off</v>
      </c>
      <c r="AC2625" t="str">
        <f t="shared" si="410"/>
        <v>Off</v>
      </c>
      <c r="AD2625" t="str">
        <f t="shared" si="410"/>
        <v>Off</v>
      </c>
      <c r="AE2625" t="str">
        <f t="shared" si="410"/>
        <v>Off</v>
      </c>
      <c r="AF2625" t="str">
        <f t="shared" si="410"/>
        <v>Off</v>
      </c>
      <c r="AG2625" t="str">
        <f t="shared" si="410"/>
        <v>Off</v>
      </c>
    </row>
    <row r="2626" spans="1:33">
      <c r="A2626" t="s">
        <v>3293</v>
      </c>
      <c r="B2626" t="str">
        <f t="shared" si="408"/>
        <v>Off</v>
      </c>
      <c r="C2626" t="str">
        <f t="shared" si="408"/>
        <v>Off</v>
      </c>
      <c r="D2626" t="str">
        <f t="shared" si="408"/>
        <v>Off</v>
      </c>
      <c r="E2626" t="str">
        <f t="shared" si="408"/>
        <v>Off</v>
      </c>
      <c r="F2626" t="str">
        <f t="shared" si="408"/>
        <v>Off</v>
      </c>
      <c r="G2626" t="str">
        <f t="shared" si="408"/>
        <v>Off</v>
      </c>
      <c r="H2626" t="str">
        <f t="shared" si="408"/>
        <v>Off</v>
      </c>
      <c r="I2626" t="str">
        <f t="shared" si="408"/>
        <v>Off</v>
      </c>
      <c r="J2626" t="str">
        <f t="shared" si="408"/>
        <v>Off</v>
      </c>
      <c r="K2626" t="str">
        <f t="shared" si="408"/>
        <v>Off</v>
      </c>
      <c r="L2626" t="str">
        <f t="shared" si="409"/>
        <v>Off</v>
      </c>
      <c r="M2626" t="str">
        <f t="shared" si="409"/>
        <v>Off</v>
      </c>
      <c r="N2626" t="str">
        <f t="shared" si="409"/>
        <v>Off</v>
      </c>
      <c r="O2626" t="str">
        <f t="shared" si="409"/>
        <v>Off</v>
      </c>
      <c r="P2626" t="str">
        <f t="shared" si="409"/>
        <v>Off</v>
      </c>
      <c r="Q2626" t="str">
        <f t="shared" si="409"/>
        <v>Off</v>
      </c>
      <c r="R2626" t="str">
        <f t="shared" si="409"/>
        <v>Off</v>
      </c>
      <c r="S2626" t="str">
        <f t="shared" si="409"/>
        <v>Off</v>
      </c>
      <c r="T2626" t="str">
        <f t="shared" si="409"/>
        <v>Off</v>
      </c>
      <c r="U2626" t="str">
        <f t="shared" si="409"/>
        <v>Off</v>
      </c>
      <c r="V2626" t="str">
        <f t="shared" si="410"/>
        <v>Off</v>
      </c>
      <c r="W2626" t="str">
        <f t="shared" si="410"/>
        <v>Off</v>
      </c>
      <c r="X2626" t="str">
        <f t="shared" si="410"/>
        <v>Off</v>
      </c>
      <c r="Y2626" t="str">
        <f t="shared" si="410"/>
        <v>Off</v>
      </c>
      <c r="Z2626" t="str">
        <f t="shared" si="410"/>
        <v>Off</v>
      </c>
      <c r="AA2626" t="str">
        <f t="shared" si="410"/>
        <v>Off</v>
      </c>
      <c r="AB2626" t="str">
        <f t="shared" si="410"/>
        <v>Off</v>
      </c>
      <c r="AC2626" t="str">
        <f t="shared" si="410"/>
        <v>Off</v>
      </c>
      <c r="AD2626" t="str">
        <f t="shared" si="410"/>
        <v>Off</v>
      </c>
      <c r="AE2626" t="str">
        <f t="shared" si="410"/>
        <v>Off</v>
      </c>
      <c r="AF2626" t="str">
        <f t="shared" si="410"/>
        <v>Off</v>
      </c>
      <c r="AG2626" t="str">
        <f t="shared" si="410"/>
        <v>Off</v>
      </c>
    </row>
    <row r="2627" spans="1:33">
      <c r="A2627" t="s">
        <v>3294</v>
      </c>
      <c r="B2627" t="str">
        <f t="shared" si="408"/>
        <v>Off</v>
      </c>
      <c r="C2627" t="str">
        <f t="shared" si="408"/>
        <v>Off</v>
      </c>
      <c r="D2627" t="str">
        <f t="shared" si="408"/>
        <v>Off</v>
      </c>
      <c r="E2627" t="str">
        <f t="shared" si="408"/>
        <v>Off</v>
      </c>
      <c r="F2627" t="str">
        <f t="shared" si="408"/>
        <v>Off</v>
      </c>
      <c r="G2627" t="str">
        <f t="shared" si="408"/>
        <v>Off</v>
      </c>
      <c r="H2627" t="str">
        <f t="shared" si="408"/>
        <v>Off</v>
      </c>
      <c r="I2627" t="str">
        <f t="shared" si="408"/>
        <v>Off</v>
      </c>
      <c r="J2627" t="str">
        <f t="shared" si="408"/>
        <v>Off</v>
      </c>
      <c r="K2627" t="str">
        <f t="shared" si="408"/>
        <v>Off</v>
      </c>
      <c r="L2627" t="str">
        <f t="shared" si="409"/>
        <v>Off</v>
      </c>
      <c r="M2627" t="str">
        <f t="shared" si="409"/>
        <v>Off</v>
      </c>
      <c r="N2627" t="str">
        <f t="shared" si="409"/>
        <v>Off</v>
      </c>
      <c r="O2627" t="str">
        <f t="shared" si="409"/>
        <v>Off</v>
      </c>
      <c r="P2627" t="str">
        <f t="shared" si="409"/>
        <v>Off</v>
      </c>
      <c r="Q2627" t="str">
        <f t="shared" si="409"/>
        <v>Off</v>
      </c>
      <c r="R2627" t="str">
        <f t="shared" si="409"/>
        <v>Off</v>
      </c>
      <c r="S2627" t="str">
        <f t="shared" si="409"/>
        <v>Off</v>
      </c>
      <c r="T2627" t="str">
        <f t="shared" si="409"/>
        <v>Off</v>
      </c>
      <c r="U2627" t="str">
        <f t="shared" si="409"/>
        <v>Off</v>
      </c>
      <c r="V2627" t="str">
        <f t="shared" si="410"/>
        <v>Off</v>
      </c>
      <c r="W2627" t="str">
        <f t="shared" si="410"/>
        <v>Off</v>
      </c>
      <c r="X2627" t="str">
        <f t="shared" si="410"/>
        <v>Off</v>
      </c>
      <c r="Y2627" t="str">
        <f t="shared" si="410"/>
        <v>Off</v>
      </c>
      <c r="Z2627" t="str">
        <f t="shared" si="410"/>
        <v>Off</v>
      </c>
      <c r="AA2627" t="str">
        <f t="shared" si="410"/>
        <v>Off</v>
      </c>
      <c r="AB2627" t="str">
        <f t="shared" si="410"/>
        <v>Off</v>
      </c>
      <c r="AC2627" t="str">
        <f t="shared" si="410"/>
        <v>Off</v>
      </c>
      <c r="AD2627" t="str">
        <f t="shared" si="410"/>
        <v>Off</v>
      </c>
      <c r="AE2627" t="str">
        <f t="shared" si="410"/>
        <v>Off</v>
      </c>
      <c r="AF2627" t="str">
        <f t="shared" si="410"/>
        <v>Off</v>
      </c>
      <c r="AG2627" t="str">
        <f t="shared" si="410"/>
        <v>Off</v>
      </c>
    </row>
    <row r="2628" spans="1:33">
      <c r="A2628" t="s">
        <v>3295</v>
      </c>
      <c r="B2628" t="str">
        <f t="shared" si="408"/>
        <v>Off</v>
      </c>
      <c r="C2628" t="str">
        <f t="shared" si="408"/>
        <v>Off</v>
      </c>
      <c r="D2628" t="str">
        <f t="shared" si="408"/>
        <v>Off</v>
      </c>
      <c r="E2628" t="str">
        <f t="shared" si="408"/>
        <v>Off</v>
      </c>
      <c r="F2628" t="str">
        <f t="shared" si="408"/>
        <v>Off</v>
      </c>
      <c r="G2628" t="str">
        <f t="shared" si="408"/>
        <v>Off</v>
      </c>
      <c r="H2628" t="str">
        <f t="shared" si="408"/>
        <v>Off</v>
      </c>
      <c r="I2628" t="str">
        <f t="shared" si="408"/>
        <v>Off</v>
      </c>
      <c r="J2628" t="str">
        <f t="shared" si="408"/>
        <v>Off</v>
      </c>
      <c r="K2628" t="str">
        <f t="shared" si="408"/>
        <v>Off</v>
      </c>
      <c r="L2628" t="str">
        <f t="shared" si="409"/>
        <v>Off</v>
      </c>
      <c r="M2628" t="str">
        <f t="shared" si="409"/>
        <v>Off</v>
      </c>
      <c r="N2628" t="str">
        <f t="shared" si="409"/>
        <v>Off</v>
      </c>
      <c r="O2628" t="str">
        <f t="shared" si="409"/>
        <v>Off</v>
      </c>
      <c r="P2628" t="str">
        <f t="shared" si="409"/>
        <v>Off</v>
      </c>
      <c r="Q2628" t="str">
        <f t="shared" si="409"/>
        <v>Off</v>
      </c>
      <c r="R2628" t="str">
        <f t="shared" si="409"/>
        <v>Off</v>
      </c>
      <c r="S2628" t="str">
        <f t="shared" si="409"/>
        <v>Off</v>
      </c>
      <c r="T2628" t="str">
        <f t="shared" si="409"/>
        <v>Off</v>
      </c>
      <c r="U2628" t="str">
        <f t="shared" si="409"/>
        <v>Off</v>
      </c>
      <c r="V2628" t="str">
        <f t="shared" si="410"/>
        <v>Off</v>
      </c>
      <c r="W2628" t="str">
        <f t="shared" si="410"/>
        <v>Off</v>
      </c>
      <c r="X2628" t="str">
        <f t="shared" si="410"/>
        <v>Off</v>
      </c>
      <c r="Y2628" t="str">
        <f t="shared" si="410"/>
        <v>Off</v>
      </c>
      <c r="Z2628" t="str">
        <f t="shared" si="410"/>
        <v>Off</v>
      </c>
      <c r="AA2628" t="str">
        <f t="shared" si="410"/>
        <v>Off</v>
      </c>
      <c r="AB2628" t="str">
        <f t="shared" si="410"/>
        <v>Off</v>
      </c>
      <c r="AC2628" t="str">
        <f t="shared" si="410"/>
        <v>Off</v>
      </c>
      <c r="AD2628" t="str">
        <f t="shared" si="410"/>
        <v>Off</v>
      </c>
      <c r="AE2628" t="str">
        <f t="shared" si="410"/>
        <v>Off</v>
      </c>
      <c r="AF2628" t="str">
        <f t="shared" si="410"/>
        <v>Off</v>
      </c>
      <c r="AG2628" t="str">
        <f t="shared" si="410"/>
        <v>Off</v>
      </c>
    </row>
    <row r="2629" spans="1:33">
      <c r="A2629" t="s">
        <v>3296</v>
      </c>
      <c r="B2629" t="str">
        <f t="shared" si="408"/>
        <v>Off</v>
      </c>
      <c r="C2629" t="str">
        <f t="shared" si="408"/>
        <v>Off</v>
      </c>
      <c r="D2629" t="str">
        <f t="shared" si="408"/>
        <v>Off</v>
      </c>
      <c r="E2629" t="str">
        <f t="shared" si="408"/>
        <v>Off</v>
      </c>
      <c r="F2629" t="str">
        <f t="shared" si="408"/>
        <v>Off</v>
      </c>
      <c r="G2629" t="str">
        <f t="shared" si="408"/>
        <v>Off</v>
      </c>
      <c r="H2629" t="str">
        <f t="shared" si="408"/>
        <v>Off</v>
      </c>
      <c r="I2629" t="str">
        <f t="shared" si="408"/>
        <v>Off</v>
      </c>
      <c r="J2629" t="str">
        <f t="shared" si="408"/>
        <v>Off</v>
      </c>
      <c r="K2629" t="str">
        <f t="shared" si="408"/>
        <v>Off</v>
      </c>
      <c r="L2629" t="str">
        <f t="shared" si="409"/>
        <v>Off</v>
      </c>
      <c r="M2629" t="str">
        <f t="shared" si="409"/>
        <v>Off</v>
      </c>
      <c r="N2629" t="str">
        <f t="shared" si="409"/>
        <v>Off</v>
      </c>
      <c r="O2629" t="str">
        <f t="shared" si="409"/>
        <v>Off</v>
      </c>
      <c r="P2629" t="str">
        <f t="shared" si="409"/>
        <v>Off</v>
      </c>
      <c r="Q2629" t="str">
        <f t="shared" si="409"/>
        <v>Off</v>
      </c>
      <c r="R2629" t="str">
        <f t="shared" si="409"/>
        <v>Off</v>
      </c>
      <c r="S2629" t="str">
        <f t="shared" si="409"/>
        <v>Off</v>
      </c>
      <c r="T2629" t="str">
        <f t="shared" si="409"/>
        <v>Off</v>
      </c>
      <c r="U2629" t="str">
        <f t="shared" si="409"/>
        <v>Off</v>
      </c>
      <c r="V2629" t="str">
        <f t="shared" si="410"/>
        <v>Off</v>
      </c>
      <c r="W2629" t="str">
        <f t="shared" si="410"/>
        <v>Off</v>
      </c>
      <c r="X2629" t="str">
        <f t="shared" si="410"/>
        <v>Off</v>
      </c>
      <c r="Y2629" t="str">
        <f t="shared" si="410"/>
        <v>Off</v>
      </c>
      <c r="Z2629" t="str">
        <f t="shared" si="410"/>
        <v>Off</v>
      </c>
      <c r="AA2629" t="str">
        <f t="shared" si="410"/>
        <v>Off</v>
      </c>
      <c r="AB2629" t="str">
        <f t="shared" si="410"/>
        <v>Off</v>
      </c>
      <c r="AC2629" t="str">
        <f t="shared" si="410"/>
        <v>Off</v>
      </c>
      <c r="AD2629" t="str">
        <f t="shared" si="410"/>
        <v>Off</v>
      </c>
      <c r="AE2629" t="str">
        <f t="shared" si="410"/>
        <v>Off</v>
      </c>
      <c r="AF2629" t="str">
        <f t="shared" si="410"/>
        <v>Off</v>
      </c>
      <c r="AG2629" t="str">
        <f t="shared" si="410"/>
        <v>Off</v>
      </c>
    </row>
    <row r="2630" spans="1:33">
      <c r="A2630" t="s">
        <v>3297</v>
      </c>
      <c r="B2630" t="str">
        <f t="shared" si="408"/>
        <v>Off</v>
      </c>
      <c r="C2630" t="str">
        <f t="shared" si="408"/>
        <v>Off</v>
      </c>
      <c r="D2630" t="str">
        <f t="shared" si="408"/>
        <v>Off</v>
      </c>
      <c r="E2630" t="str">
        <f t="shared" si="408"/>
        <v>Off</v>
      </c>
      <c r="F2630" t="str">
        <f t="shared" si="408"/>
        <v>Off</v>
      </c>
      <c r="G2630" t="str">
        <f t="shared" si="408"/>
        <v>Off</v>
      </c>
      <c r="H2630" t="str">
        <f t="shared" si="408"/>
        <v>Off</v>
      </c>
      <c r="I2630" t="str">
        <f t="shared" si="408"/>
        <v>Off</v>
      </c>
      <c r="J2630" t="str">
        <f t="shared" si="408"/>
        <v>Off</v>
      </c>
      <c r="K2630" t="str">
        <f t="shared" si="408"/>
        <v>Off</v>
      </c>
      <c r="L2630" t="str">
        <f t="shared" si="409"/>
        <v>Off</v>
      </c>
      <c r="M2630" t="str">
        <f t="shared" si="409"/>
        <v>Off</v>
      </c>
      <c r="N2630" t="str">
        <f t="shared" si="409"/>
        <v>Off</v>
      </c>
      <c r="O2630" t="str">
        <f t="shared" si="409"/>
        <v>Off</v>
      </c>
      <c r="P2630" t="str">
        <f t="shared" si="409"/>
        <v>Off</v>
      </c>
      <c r="Q2630" t="str">
        <f t="shared" si="409"/>
        <v>Off</v>
      </c>
      <c r="R2630" t="str">
        <f t="shared" si="409"/>
        <v>Off</v>
      </c>
      <c r="S2630" t="str">
        <f t="shared" si="409"/>
        <v>Off</v>
      </c>
      <c r="T2630" t="str">
        <f t="shared" si="409"/>
        <v>Off</v>
      </c>
      <c r="U2630" t="str">
        <f t="shared" si="409"/>
        <v>Off</v>
      </c>
      <c r="V2630" t="str">
        <f t="shared" si="410"/>
        <v>Off</v>
      </c>
      <c r="W2630" t="str">
        <f t="shared" si="410"/>
        <v>Off</v>
      </c>
      <c r="X2630" t="str">
        <f t="shared" si="410"/>
        <v>Off</v>
      </c>
      <c r="Y2630" t="str">
        <f t="shared" si="410"/>
        <v>Off</v>
      </c>
      <c r="Z2630" t="str">
        <f t="shared" si="410"/>
        <v>Off</v>
      </c>
      <c r="AA2630" t="str">
        <f t="shared" si="410"/>
        <v>Off</v>
      </c>
      <c r="AB2630" t="str">
        <f t="shared" si="410"/>
        <v>Off</v>
      </c>
      <c r="AC2630" t="str">
        <f t="shared" si="410"/>
        <v>Off</v>
      </c>
      <c r="AD2630" t="str">
        <f t="shared" si="410"/>
        <v>Off</v>
      </c>
      <c r="AE2630" t="str">
        <f t="shared" si="410"/>
        <v>Off</v>
      </c>
      <c r="AF2630" t="str">
        <f t="shared" si="410"/>
        <v>Off</v>
      </c>
      <c r="AG2630" t="str">
        <f t="shared" si="410"/>
        <v>Off</v>
      </c>
    </row>
    <row r="2631" spans="1:33">
      <c r="A2631" t="s">
        <v>3298</v>
      </c>
      <c r="B2631" t="str">
        <f t="shared" ref="B2631:K2636" si="411">"Off"</f>
        <v>Off</v>
      </c>
      <c r="C2631" t="str">
        <f t="shared" si="411"/>
        <v>Off</v>
      </c>
      <c r="D2631" t="str">
        <f t="shared" si="411"/>
        <v>Off</v>
      </c>
      <c r="E2631" t="str">
        <f t="shared" si="411"/>
        <v>Off</v>
      </c>
      <c r="F2631" t="str">
        <f t="shared" si="411"/>
        <v>Off</v>
      </c>
      <c r="G2631" t="str">
        <f t="shared" si="411"/>
        <v>Off</v>
      </c>
      <c r="H2631" t="str">
        <f t="shared" si="411"/>
        <v>Off</v>
      </c>
      <c r="I2631" t="str">
        <f t="shared" si="411"/>
        <v>Off</v>
      </c>
      <c r="J2631" t="str">
        <f t="shared" si="411"/>
        <v>Off</v>
      </c>
      <c r="K2631" t="str">
        <f t="shared" si="411"/>
        <v>Off</v>
      </c>
      <c r="L2631" t="str">
        <f t="shared" ref="L2631:U2636" si="412">"Off"</f>
        <v>Off</v>
      </c>
      <c r="M2631" t="str">
        <f t="shared" si="412"/>
        <v>Off</v>
      </c>
      <c r="N2631" t="str">
        <f t="shared" si="412"/>
        <v>Off</v>
      </c>
      <c r="O2631" t="str">
        <f t="shared" si="412"/>
        <v>Off</v>
      </c>
      <c r="P2631" t="str">
        <f t="shared" si="412"/>
        <v>Off</v>
      </c>
      <c r="Q2631" t="str">
        <f t="shared" si="412"/>
        <v>Off</v>
      </c>
      <c r="R2631" t="str">
        <f t="shared" si="412"/>
        <v>Off</v>
      </c>
      <c r="S2631" t="str">
        <f t="shared" si="412"/>
        <v>Off</v>
      </c>
      <c r="T2631" t="str">
        <f t="shared" si="412"/>
        <v>Off</v>
      </c>
      <c r="U2631" t="str">
        <f t="shared" si="412"/>
        <v>Off</v>
      </c>
      <c r="V2631" t="str">
        <f t="shared" ref="V2631:AG2636" si="413">"Off"</f>
        <v>Off</v>
      </c>
      <c r="W2631" t="str">
        <f t="shared" si="413"/>
        <v>Off</v>
      </c>
      <c r="X2631" t="str">
        <f t="shared" si="413"/>
        <v>Off</v>
      </c>
      <c r="Y2631" t="str">
        <f t="shared" si="413"/>
        <v>Off</v>
      </c>
      <c r="Z2631" t="str">
        <f t="shared" si="413"/>
        <v>Off</v>
      </c>
      <c r="AA2631" t="str">
        <f t="shared" si="413"/>
        <v>Off</v>
      </c>
      <c r="AB2631" t="str">
        <f t="shared" si="413"/>
        <v>Off</v>
      </c>
      <c r="AC2631" t="str">
        <f t="shared" si="413"/>
        <v>Off</v>
      </c>
      <c r="AD2631" t="str">
        <f t="shared" si="413"/>
        <v>Off</v>
      </c>
      <c r="AE2631" t="str">
        <f t="shared" si="413"/>
        <v>Off</v>
      </c>
      <c r="AF2631" t="str">
        <f t="shared" si="413"/>
        <v>Off</v>
      </c>
      <c r="AG2631" t="str">
        <f t="shared" si="413"/>
        <v>Off</v>
      </c>
    </row>
    <row r="2632" spans="1:33">
      <c r="A2632" t="s">
        <v>3299</v>
      </c>
      <c r="B2632" t="str">
        <f t="shared" si="411"/>
        <v>Off</v>
      </c>
      <c r="C2632" t="str">
        <f t="shared" si="411"/>
        <v>Off</v>
      </c>
      <c r="D2632" t="str">
        <f t="shared" si="411"/>
        <v>Off</v>
      </c>
      <c r="E2632" t="str">
        <f t="shared" si="411"/>
        <v>Off</v>
      </c>
      <c r="F2632" t="str">
        <f t="shared" si="411"/>
        <v>Off</v>
      </c>
      <c r="G2632" t="str">
        <f t="shared" si="411"/>
        <v>Off</v>
      </c>
      <c r="H2632" t="str">
        <f t="shared" si="411"/>
        <v>Off</v>
      </c>
      <c r="I2632" t="str">
        <f t="shared" si="411"/>
        <v>Off</v>
      </c>
      <c r="J2632" t="str">
        <f t="shared" si="411"/>
        <v>Off</v>
      </c>
      <c r="K2632" t="str">
        <f t="shared" si="411"/>
        <v>Off</v>
      </c>
      <c r="L2632" t="str">
        <f t="shared" si="412"/>
        <v>Off</v>
      </c>
      <c r="M2632" t="str">
        <f t="shared" si="412"/>
        <v>Off</v>
      </c>
      <c r="N2632" t="str">
        <f t="shared" si="412"/>
        <v>Off</v>
      </c>
      <c r="O2632" t="str">
        <f t="shared" si="412"/>
        <v>Off</v>
      </c>
      <c r="P2632" t="str">
        <f t="shared" si="412"/>
        <v>Off</v>
      </c>
      <c r="Q2632" t="str">
        <f t="shared" si="412"/>
        <v>Off</v>
      </c>
      <c r="R2632" t="str">
        <f t="shared" si="412"/>
        <v>Off</v>
      </c>
      <c r="S2632" t="str">
        <f t="shared" si="412"/>
        <v>Off</v>
      </c>
      <c r="T2632" t="str">
        <f t="shared" si="412"/>
        <v>Off</v>
      </c>
      <c r="U2632" t="str">
        <f t="shared" si="412"/>
        <v>Off</v>
      </c>
      <c r="V2632" t="str">
        <f t="shared" si="413"/>
        <v>Off</v>
      </c>
      <c r="W2632" t="str">
        <f t="shared" si="413"/>
        <v>Off</v>
      </c>
      <c r="X2632" t="str">
        <f t="shared" si="413"/>
        <v>Off</v>
      </c>
      <c r="Y2632" t="str">
        <f t="shared" si="413"/>
        <v>Off</v>
      </c>
      <c r="Z2632" t="str">
        <f t="shared" si="413"/>
        <v>Off</v>
      </c>
      <c r="AA2632" t="str">
        <f t="shared" si="413"/>
        <v>Off</v>
      </c>
      <c r="AB2632" t="str">
        <f t="shared" si="413"/>
        <v>Off</v>
      </c>
      <c r="AC2632" t="str">
        <f t="shared" si="413"/>
        <v>Off</v>
      </c>
      <c r="AD2632" t="str">
        <f t="shared" si="413"/>
        <v>Off</v>
      </c>
      <c r="AE2632" t="str">
        <f t="shared" si="413"/>
        <v>Off</v>
      </c>
      <c r="AF2632" t="str">
        <f t="shared" si="413"/>
        <v>Off</v>
      </c>
      <c r="AG2632" t="str">
        <f t="shared" si="413"/>
        <v>Off</v>
      </c>
    </row>
    <row r="2633" spans="1:33">
      <c r="A2633" t="s">
        <v>3300</v>
      </c>
      <c r="B2633" t="str">
        <f t="shared" si="411"/>
        <v>Off</v>
      </c>
      <c r="C2633" t="str">
        <f t="shared" si="411"/>
        <v>Off</v>
      </c>
      <c r="D2633" t="str">
        <f t="shared" si="411"/>
        <v>Off</v>
      </c>
      <c r="E2633" t="str">
        <f t="shared" si="411"/>
        <v>Off</v>
      </c>
      <c r="F2633" t="str">
        <f t="shared" si="411"/>
        <v>Off</v>
      </c>
      <c r="G2633" t="str">
        <f t="shared" si="411"/>
        <v>Off</v>
      </c>
      <c r="H2633" t="str">
        <f t="shared" si="411"/>
        <v>Off</v>
      </c>
      <c r="I2633" t="str">
        <f t="shared" si="411"/>
        <v>Off</v>
      </c>
      <c r="J2633" t="str">
        <f t="shared" si="411"/>
        <v>Off</v>
      </c>
      <c r="K2633" t="str">
        <f t="shared" si="411"/>
        <v>Off</v>
      </c>
      <c r="L2633" t="str">
        <f t="shared" si="412"/>
        <v>Off</v>
      </c>
      <c r="M2633" t="str">
        <f t="shared" si="412"/>
        <v>Off</v>
      </c>
      <c r="N2633" t="str">
        <f t="shared" si="412"/>
        <v>Off</v>
      </c>
      <c r="O2633" t="str">
        <f t="shared" si="412"/>
        <v>Off</v>
      </c>
      <c r="P2633" t="str">
        <f t="shared" si="412"/>
        <v>Off</v>
      </c>
      <c r="Q2633" t="str">
        <f t="shared" si="412"/>
        <v>Off</v>
      </c>
      <c r="R2633" t="str">
        <f t="shared" si="412"/>
        <v>Off</v>
      </c>
      <c r="S2633" t="str">
        <f t="shared" si="412"/>
        <v>Off</v>
      </c>
      <c r="T2633" t="str">
        <f t="shared" si="412"/>
        <v>Off</v>
      </c>
      <c r="U2633" t="str">
        <f t="shared" si="412"/>
        <v>Off</v>
      </c>
      <c r="V2633" t="str">
        <f t="shared" si="413"/>
        <v>Off</v>
      </c>
      <c r="W2633" t="str">
        <f t="shared" si="413"/>
        <v>Off</v>
      </c>
      <c r="X2633" t="str">
        <f t="shared" si="413"/>
        <v>Off</v>
      </c>
      <c r="Y2633" t="str">
        <f t="shared" si="413"/>
        <v>Off</v>
      </c>
      <c r="Z2633" t="str">
        <f t="shared" si="413"/>
        <v>Off</v>
      </c>
      <c r="AA2633" t="str">
        <f t="shared" si="413"/>
        <v>Off</v>
      </c>
      <c r="AB2633" t="str">
        <f t="shared" si="413"/>
        <v>Off</v>
      </c>
      <c r="AC2633" t="str">
        <f t="shared" si="413"/>
        <v>Off</v>
      </c>
      <c r="AD2633" t="str">
        <f t="shared" si="413"/>
        <v>Off</v>
      </c>
      <c r="AE2633" t="str">
        <f t="shared" si="413"/>
        <v>Off</v>
      </c>
      <c r="AF2633" t="str">
        <f t="shared" si="413"/>
        <v>Off</v>
      </c>
      <c r="AG2633" t="str">
        <f t="shared" si="413"/>
        <v>Off</v>
      </c>
    </row>
    <row r="2634" spans="1:33">
      <c r="A2634" t="s">
        <v>3301</v>
      </c>
      <c r="B2634" t="str">
        <f t="shared" si="411"/>
        <v>Off</v>
      </c>
      <c r="C2634" t="str">
        <f t="shared" si="411"/>
        <v>Off</v>
      </c>
      <c r="D2634" t="str">
        <f t="shared" si="411"/>
        <v>Off</v>
      </c>
      <c r="E2634" t="str">
        <f t="shared" si="411"/>
        <v>Off</v>
      </c>
      <c r="F2634" t="str">
        <f t="shared" si="411"/>
        <v>Off</v>
      </c>
      <c r="G2634" t="str">
        <f t="shared" si="411"/>
        <v>Off</v>
      </c>
      <c r="H2634" t="str">
        <f t="shared" si="411"/>
        <v>Off</v>
      </c>
      <c r="I2634" t="str">
        <f t="shared" si="411"/>
        <v>Off</v>
      </c>
      <c r="J2634" t="str">
        <f t="shared" si="411"/>
        <v>Off</v>
      </c>
      <c r="K2634" t="str">
        <f t="shared" si="411"/>
        <v>Off</v>
      </c>
      <c r="L2634" t="str">
        <f t="shared" si="412"/>
        <v>Off</v>
      </c>
      <c r="M2634" t="str">
        <f t="shared" si="412"/>
        <v>Off</v>
      </c>
      <c r="N2634" t="str">
        <f t="shared" si="412"/>
        <v>Off</v>
      </c>
      <c r="O2634" t="str">
        <f t="shared" si="412"/>
        <v>Off</v>
      </c>
      <c r="P2634" t="str">
        <f t="shared" si="412"/>
        <v>Off</v>
      </c>
      <c r="Q2634" t="str">
        <f t="shared" si="412"/>
        <v>Off</v>
      </c>
      <c r="R2634" t="str">
        <f t="shared" si="412"/>
        <v>Off</v>
      </c>
      <c r="S2634" t="str">
        <f t="shared" si="412"/>
        <v>Off</v>
      </c>
      <c r="T2634" t="str">
        <f t="shared" si="412"/>
        <v>Off</v>
      </c>
      <c r="U2634" t="str">
        <f t="shared" si="412"/>
        <v>Off</v>
      </c>
      <c r="V2634" t="str">
        <f t="shared" si="413"/>
        <v>Off</v>
      </c>
      <c r="W2634" t="str">
        <f t="shared" si="413"/>
        <v>Off</v>
      </c>
      <c r="X2634" t="str">
        <f t="shared" si="413"/>
        <v>Off</v>
      </c>
      <c r="Y2634" t="str">
        <f t="shared" si="413"/>
        <v>Off</v>
      </c>
      <c r="Z2634" t="str">
        <f t="shared" si="413"/>
        <v>Off</v>
      </c>
      <c r="AA2634" t="str">
        <f t="shared" si="413"/>
        <v>Off</v>
      </c>
      <c r="AB2634" t="str">
        <f t="shared" si="413"/>
        <v>Off</v>
      </c>
      <c r="AC2634" t="str">
        <f t="shared" si="413"/>
        <v>Off</v>
      </c>
      <c r="AD2634" t="str">
        <f t="shared" si="413"/>
        <v>Off</v>
      </c>
      <c r="AE2634" t="str">
        <f t="shared" si="413"/>
        <v>Off</v>
      </c>
      <c r="AF2634" t="str">
        <f t="shared" si="413"/>
        <v>Off</v>
      </c>
      <c r="AG2634" t="str">
        <f t="shared" si="413"/>
        <v>Off</v>
      </c>
    </row>
    <row r="2635" spans="1:33">
      <c r="A2635" t="s">
        <v>3302</v>
      </c>
      <c r="B2635" t="str">
        <f t="shared" si="411"/>
        <v>Off</v>
      </c>
      <c r="C2635" t="str">
        <f t="shared" si="411"/>
        <v>Off</v>
      </c>
      <c r="D2635" t="str">
        <f t="shared" si="411"/>
        <v>Off</v>
      </c>
      <c r="E2635" t="str">
        <f t="shared" si="411"/>
        <v>Off</v>
      </c>
      <c r="F2635" t="str">
        <f t="shared" si="411"/>
        <v>Off</v>
      </c>
      <c r="G2635" t="str">
        <f t="shared" si="411"/>
        <v>Off</v>
      </c>
      <c r="H2635" t="str">
        <f t="shared" si="411"/>
        <v>Off</v>
      </c>
      <c r="I2635" t="str">
        <f t="shared" si="411"/>
        <v>Off</v>
      </c>
      <c r="J2635" t="str">
        <f t="shared" si="411"/>
        <v>Off</v>
      </c>
      <c r="K2635" t="str">
        <f t="shared" si="411"/>
        <v>Off</v>
      </c>
      <c r="L2635" t="str">
        <f t="shared" si="412"/>
        <v>Off</v>
      </c>
      <c r="M2635" t="str">
        <f t="shared" si="412"/>
        <v>Off</v>
      </c>
      <c r="N2635" t="str">
        <f t="shared" si="412"/>
        <v>Off</v>
      </c>
      <c r="O2635" t="str">
        <f t="shared" si="412"/>
        <v>Off</v>
      </c>
      <c r="P2635" t="str">
        <f t="shared" si="412"/>
        <v>Off</v>
      </c>
      <c r="Q2635" t="str">
        <f t="shared" si="412"/>
        <v>Off</v>
      </c>
      <c r="R2635" t="str">
        <f t="shared" si="412"/>
        <v>Off</v>
      </c>
      <c r="S2635" t="str">
        <f t="shared" si="412"/>
        <v>Off</v>
      </c>
      <c r="T2635" t="str">
        <f t="shared" si="412"/>
        <v>Off</v>
      </c>
      <c r="U2635" t="str">
        <f t="shared" si="412"/>
        <v>Off</v>
      </c>
      <c r="V2635" t="str">
        <f t="shared" si="413"/>
        <v>Off</v>
      </c>
      <c r="W2635" t="str">
        <f t="shared" si="413"/>
        <v>Off</v>
      </c>
      <c r="X2635" t="str">
        <f t="shared" si="413"/>
        <v>Off</v>
      </c>
      <c r="Y2635" t="str">
        <f t="shared" si="413"/>
        <v>Off</v>
      </c>
      <c r="Z2635" t="str">
        <f t="shared" si="413"/>
        <v>Off</v>
      </c>
      <c r="AA2635" t="str">
        <f t="shared" si="413"/>
        <v>Off</v>
      </c>
      <c r="AB2635" t="str">
        <f t="shared" si="413"/>
        <v>Off</v>
      </c>
      <c r="AC2635" t="str">
        <f t="shared" si="413"/>
        <v>Off</v>
      </c>
      <c r="AD2635" t="str">
        <f t="shared" si="413"/>
        <v>Off</v>
      </c>
      <c r="AE2635" t="str">
        <f t="shared" si="413"/>
        <v>Off</v>
      </c>
      <c r="AF2635" t="str">
        <f t="shared" si="413"/>
        <v>Off</v>
      </c>
      <c r="AG2635" t="str">
        <f t="shared" si="413"/>
        <v>Off</v>
      </c>
    </row>
    <row r="2636" spans="1:33">
      <c r="A2636" t="s">
        <v>3303</v>
      </c>
      <c r="B2636" t="str">
        <f t="shared" si="411"/>
        <v>Off</v>
      </c>
      <c r="C2636" t="str">
        <f t="shared" si="411"/>
        <v>Off</v>
      </c>
      <c r="D2636" t="str">
        <f t="shared" si="411"/>
        <v>Off</v>
      </c>
      <c r="E2636" t="str">
        <f t="shared" si="411"/>
        <v>Off</v>
      </c>
      <c r="F2636" t="str">
        <f t="shared" si="411"/>
        <v>Off</v>
      </c>
      <c r="G2636" t="str">
        <f t="shared" si="411"/>
        <v>Off</v>
      </c>
      <c r="H2636" t="str">
        <f t="shared" si="411"/>
        <v>Off</v>
      </c>
      <c r="I2636" t="str">
        <f t="shared" si="411"/>
        <v>Off</v>
      </c>
      <c r="J2636" t="str">
        <f t="shared" si="411"/>
        <v>Off</v>
      </c>
      <c r="K2636" t="str">
        <f t="shared" si="411"/>
        <v>Off</v>
      </c>
      <c r="L2636" t="str">
        <f t="shared" si="412"/>
        <v>Off</v>
      </c>
      <c r="M2636" t="str">
        <f t="shared" si="412"/>
        <v>Off</v>
      </c>
      <c r="N2636" t="str">
        <f t="shared" si="412"/>
        <v>Off</v>
      </c>
      <c r="O2636" t="str">
        <f t="shared" si="412"/>
        <v>Off</v>
      </c>
      <c r="P2636" t="str">
        <f t="shared" si="412"/>
        <v>Off</v>
      </c>
      <c r="Q2636" t="str">
        <f t="shared" si="412"/>
        <v>Off</v>
      </c>
      <c r="R2636" t="str">
        <f t="shared" si="412"/>
        <v>Off</v>
      </c>
      <c r="S2636" t="str">
        <f t="shared" si="412"/>
        <v>Off</v>
      </c>
      <c r="T2636" t="str">
        <f t="shared" si="412"/>
        <v>Off</v>
      </c>
      <c r="U2636" t="str">
        <f t="shared" si="412"/>
        <v>Off</v>
      </c>
      <c r="V2636" t="str">
        <f t="shared" si="413"/>
        <v>Off</v>
      </c>
      <c r="W2636" t="str">
        <f t="shared" si="413"/>
        <v>Off</v>
      </c>
      <c r="X2636" t="str">
        <f t="shared" si="413"/>
        <v>Off</v>
      </c>
      <c r="Y2636" t="str">
        <f t="shared" si="413"/>
        <v>Off</v>
      </c>
      <c r="Z2636" t="str">
        <f t="shared" si="413"/>
        <v>Off</v>
      </c>
      <c r="AA2636" t="str">
        <f t="shared" si="413"/>
        <v>Off</v>
      </c>
      <c r="AB2636" t="str">
        <f t="shared" si="413"/>
        <v>Off</v>
      </c>
      <c r="AC2636" t="str">
        <f t="shared" si="413"/>
        <v>Off</v>
      </c>
      <c r="AD2636" t="str">
        <f t="shared" si="413"/>
        <v>Off</v>
      </c>
      <c r="AE2636" t="str">
        <f t="shared" si="413"/>
        <v>Off</v>
      </c>
      <c r="AF2636" t="str">
        <f t="shared" si="413"/>
        <v>Off</v>
      </c>
      <c r="AG2636" t="str">
        <f t="shared" si="413"/>
        <v>Off</v>
      </c>
    </row>
    <row r="2637" spans="1:33">
      <c r="A2637" t="s">
        <v>3304</v>
      </c>
      <c r="B2637">
        <v>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</row>
    <row r="2638" spans="1:33">
      <c r="A2638" t="s">
        <v>3305</v>
      </c>
      <c r="B2638">
        <v>0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</row>
    <row r="2639" spans="1:33">
      <c r="A2639" t="s">
        <v>3306</v>
      </c>
      <c r="B2639" t="str">
        <f t="shared" ref="B2639:K2648" si="414">"Off"</f>
        <v>Off</v>
      </c>
      <c r="C2639" t="str">
        <f t="shared" si="414"/>
        <v>Off</v>
      </c>
      <c r="D2639" t="str">
        <f t="shared" si="414"/>
        <v>Off</v>
      </c>
      <c r="E2639" t="str">
        <f t="shared" si="414"/>
        <v>Off</v>
      </c>
      <c r="F2639" t="str">
        <f t="shared" si="414"/>
        <v>Off</v>
      </c>
      <c r="G2639" t="str">
        <f t="shared" si="414"/>
        <v>Off</v>
      </c>
      <c r="H2639" t="str">
        <f t="shared" si="414"/>
        <v>Off</v>
      </c>
      <c r="I2639" t="str">
        <f t="shared" si="414"/>
        <v>Off</v>
      </c>
      <c r="J2639" t="str">
        <f t="shared" si="414"/>
        <v>Off</v>
      </c>
      <c r="K2639" t="str">
        <f t="shared" si="414"/>
        <v>Off</v>
      </c>
      <c r="L2639" t="str">
        <f t="shared" ref="L2639:U2648" si="415">"Off"</f>
        <v>Off</v>
      </c>
      <c r="M2639" t="str">
        <f t="shared" si="415"/>
        <v>Off</v>
      </c>
      <c r="N2639" t="str">
        <f t="shared" si="415"/>
        <v>Off</v>
      </c>
      <c r="O2639" t="str">
        <f t="shared" si="415"/>
        <v>Off</v>
      </c>
      <c r="P2639" t="str">
        <f t="shared" si="415"/>
        <v>Off</v>
      </c>
      <c r="Q2639" t="str">
        <f t="shared" si="415"/>
        <v>Off</v>
      </c>
      <c r="R2639" t="str">
        <f t="shared" si="415"/>
        <v>Off</v>
      </c>
      <c r="S2639" t="str">
        <f t="shared" si="415"/>
        <v>Off</v>
      </c>
      <c r="T2639" t="str">
        <f t="shared" si="415"/>
        <v>Off</v>
      </c>
      <c r="U2639" t="str">
        <f t="shared" si="415"/>
        <v>Off</v>
      </c>
      <c r="V2639" t="str">
        <f t="shared" ref="V2639:AG2648" si="416">"Off"</f>
        <v>Off</v>
      </c>
      <c r="W2639" t="str">
        <f t="shared" si="416"/>
        <v>Off</v>
      </c>
      <c r="X2639" t="str">
        <f t="shared" si="416"/>
        <v>Off</v>
      </c>
      <c r="Y2639" t="str">
        <f t="shared" si="416"/>
        <v>Off</v>
      </c>
      <c r="Z2639" t="str">
        <f t="shared" si="416"/>
        <v>Off</v>
      </c>
      <c r="AA2639" t="str">
        <f t="shared" si="416"/>
        <v>Off</v>
      </c>
      <c r="AB2639" t="str">
        <f t="shared" si="416"/>
        <v>Off</v>
      </c>
      <c r="AC2639" t="str">
        <f t="shared" si="416"/>
        <v>Off</v>
      </c>
      <c r="AD2639" t="str">
        <f t="shared" si="416"/>
        <v>Off</v>
      </c>
      <c r="AE2639" t="str">
        <f t="shared" si="416"/>
        <v>Off</v>
      </c>
      <c r="AF2639" t="str">
        <f t="shared" si="416"/>
        <v>Off</v>
      </c>
      <c r="AG2639" t="str">
        <f t="shared" si="416"/>
        <v>Off</v>
      </c>
    </row>
    <row r="2640" spans="1:33">
      <c r="A2640" t="s">
        <v>3307</v>
      </c>
      <c r="B2640" t="str">
        <f t="shared" si="414"/>
        <v>Off</v>
      </c>
      <c r="C2640" t="str">
        <f t="shared" si="414"/>
        <v>Off</v>
      </c>
      <c r="D2640" t="str">
        <f t="shared" si="414"/>
        <v>Off</v>
      </c>
      <c r="E2640" t="str">
        <f t="shared" si="414"/>
        <v>Off</v>
      </c>
      <c r="F2640" t="str">
        <f t="shared" si="414"/>
        <v>Off</v>
      </c>
      <c r="G2640" t="str">
        <f t="shared" si="414"/>
        <v>Off</v>
      </c>
      <c r="H2640" t="str">
        <f t="shared" si="414"/>
        <v>Off</v>
      </c>
      <c r="I2640" t="str">
        <f t="shared" si="414"/>
        <v>Off</v>
      </c>
      <c r="J2640" t="str">
        <f t="shared" si="414"/>
        <v>Off</v>
      </c>
      <c r="K2640" t="str">
        <f t="shared" si="414"/>
        <v>Off</v>
      </c>
      <c r="L2640" t="str">
        <f t="shared" si="415"/>
        <v>Off</v>
      </c>
      <c r="M2640" t="str">
        <f t="shared" si="415"/>
        <v>Off</v>
      </c>
      <c r="N2640" t="str">
        <f t="shared" si="415"/>
        <v>Off</v>
      </c>
      <c r="O2640" t="str">
        <f t="shared" si="415"/>
        <v>Off</v>
      </c>
      <c r="P2640" t="str">
        <f t="shared" si="415"/>
        <v>Off</v>
      </c>
      <c r="Q2640" t="str">
        <f t="shared" si="415"/>
        <v>Off</v>
      </c>
      <c r="R2640" t="str">
        <f t="shared" si="415"/>
        <v>Off</v>
      </c>
      <c r="S2640" t="str">
        <f t="shared" si="415"/>
        <v>Off</v>
      </c>
      <c r="T2640" t="str">
        <f t="shared" si="415"/>
        <v>Off</v>
      </c>
      <c r="U2640" t="str">
        <f t="shared" si="415"/>
        <v>Off</v>
      </c>
      <c r="V2640" t="str">
        <f t="shared" si="416"/>
        <v>Off</v>
      </c>
      <c r="W2640" t="str">
        <f t="shared" si="416"/>
        <v>Off</v>
      </c>
      <c r="X2640" t="str">
        <f t="shared" si="416"/>
        <v>Off</v>
      </c>
      <c r="Y2640" t="str">
        <f t="shared" si="416"/>
        <v>Off</v>
      </c>
      <c r="Z2640" t="str">
        <f t="shared" si="416"/>
        <v>Off</v>
      </c>
      <c r="AA2640" t="str">
        <f t="shared" si="416"/>
        <v>Off</v>
      </c>
      <c r="AB2640" t="str">
        <f t="shared" si="416"/>
        <v>Off</v>
      </c>
      <c r="AC2640" t="str">
        <f t="shared" si="416"/>
        <v>Off</v>
      </c>
      <c r="AD2640" t="str">
        <f t="shared" si="416"/>
        <v>Off</v>
      </c>
      <c r="AE2640" t="str">
        <f t="shared" si="416"/>
        <v>Off</v>
      </c>
      <c r="AF2640" t="str">
        <f t="shared" si="416"/>
        <v>Off</v>
      </c>
      <c r="AG2640" t="str">
        <f t="shared" si="416"/>
        <v>Off</v>
      </c>
    </row>
    <row r="2641" spans="1:33">
      <c r="A2641" t="s">
        <v>3308</v>
      </c>
      <c r="B2641" t="str">
        <f t="shared" si="414"/>
        <v>Off</v>
      </c>
      <c r="C2641" t="str">
        <f t="shared" si="414"/>
        <v>Off</v>
      </c>
      <c r="D2641" t="str">
        <f t="shared" si="414"/>
        <v>Off</v>
      </c>
      <c r="E2641" t="str">
        <f t="shared" si="414"/>
        <v>Off</v>
      </c>
      <c r="F2641" t="str">
        <f t="shared" si="414"/>
        <v>Off</v>
      </c>
      <c r="G2641" t="str">
        <f t="shared" si="414"/>
        <v>Off</v>
      </c>
      <c r="H2641" t="str">
        <f t="shared" si="414"/>
        <v>Off</v>
      </c>
      <c r="I2641" t="str">
        <f t="shared" si="414"/>
        <v>Off</v>
      </c>
      <c r="J2641" t="str">
        <f t="shared" si="414"/>
        <v>Off</v>
      </c>
      <c r="K2641" t="str">
        <f t="shared" si="414"/>
        <v>Off</v>
      </c>
      <c r="L2641" t="str">
        <f t="shared" si="415"/>
        <v>Off</v>
      </c>
      <c r="M2641" t="str">
        <f t="shared" si="415"/>
        <v>Off</v>
      </c>
      <c r="N2641" t="str">
        <f t="shared" si="415"/>
        <v>Off</v>
      </c>
      <c r="O2641" t="str">
        <f t="shared" si="415"/>
        <v>Off</v>
      </c>
      <c r="P2641" t="str">
        <f t="shared" si="415"/>
        <v>Off</v>
      </c>
      <c r="Q2641" t="str">
        <f t="shared" si="415"/>
        <v>Off</v>
      </c>
      <c r="R2641" t="str">
        <f t="shared" si="415"/>
        <v>Off</v>
      </c>
      <c r="S2641" t="str">
        <f t="shared" si="415"/>
        <v>Off</v>
      </c>
      <c r="T2641" t="str">
        <f t="shared" si="415"/>
        <v>Off</v>
      </c>
      <c r="U2641" t="str">
        <f t="shared" si="415"/>
        <v>Off</v>
      </c>
      <c r="V2641" t="str">
        <f t="shared" si="416"/>
        <v>Off</v>
      </c>
      <c r="W2641" t="str">
        <f t="shared" si="416"/>
        <v>Off</v>
      </c>
      <c r="X2641" t="str">
        <f t="shared" si="416"/>
        <v>Off</v>
      </c>
      <c r="Y2641" t="str">
        <f t="shared" si="416"/>
        <v>Off</v>
      </c>
      <c r="Z2641" t="str">
        <f t="shared" si="416"/>
        <v>Off</v>
      </c>
      <c r="AA2641" t="str">
        <f t="shared" si="416"/>
        <v>Off</v>
      </c>
      <c r="AB2641" t="str">
        <f t="shared" si="416"/>
        <v>Off</v>
      </c>
      <c r="AC2641" t="str">
        <f t="shared" si="416"/>
        <v>Off</v>
      </c>
      <c r="AD2641" t="str">
        <f t="shared" si="416"/>
        <v>Off</v>
      </c>
      <c r="AE2641" t="str">
        <f t="shared" si="416"/>
        <v>Off</v>
      </c>
      <c r="AF2641" t="str">
        <f t="shared" si="416"/>
        <v>Off</v>
      </c>
      <c r="AG2641" t="str">
        <f t="shared" si="416"/>
        <v>Off</v>
      </c>
    </row>
    <row r="2642" spans="1:33">
      <c r="A2642" t="s">
        <v>3309</v>
      </c>
      <c r="B2642" t="str">
        <f t="shared" si="414"/>
        <v>Off</v>
      </c>
      <c r="C2642" t="str">
        <f t="shared" si="414"/>
        <v>Off</v>
      </c>
      <c r="D2642" t="str">
        <f t="shared" si="414"/>
        <v>Off</v>
      </c>
      <c r="E2642" t="str">
        <f t="shared" si="414"/>
        <v>Off</v>
      </c>
      <c r="F2642" t="str">
        <f t="shared" si="414"/>
        <v>Off</v>
      </c>
      <c r="G2642" t="str">
        <f t="shared" si="414"/>
        <v>Off</v>
      </c>
      <c r="H2642" t="str">
        <f t="shared" si="414"/>
        <v>Off</v>
      </c>
      <c r="I2642" t="str">
        <f t="shared" si="414"/>
        <v>Off</v>
      </c>
      <c r="J2642" t="str">
        <f t="shared" si="414"/>
        <v>Off</v>
      </c>
      <c r="K2642" t="str">
        <f t="shared" si="414"/>
        <v>Off</v>
      </c>
      <c r="L2642" t="str">
        <f t="shared" si="415"/>
        <v>Off</v>
      </c>
      <c r="M2642" t="str">
        <f t="shared" si="415"/>
        <v>Off</v>
      </c>
      <c r="N2642" t="str">
        <f t="shared" si="415"/>
        <v>Off</v>
      </c>
      <c r="O2642" t="str">
        <f t="shared" si="415"/>
        <v>Off</v>
      </c>
      <c r="P2642" t="str">
        <f t="shared" si="415"/>
        <v>Off</v>
      </c>
      <c r="Q2642" t="str">
        <f t="shared" si="415"/>
        <v>Off</v>
      </c>
      <c r="R2642" t="str">
        <f t="shared" si="415"/>
        <v>Off</v>
      </c>
      <c r="S2642" t="str">
        <f t="shared" si="415"/>
        <v>Off</v>
      </c>
      <c r="T2642" t="str">
        <f t="shared" si="415"/>
        <v>Off</v>
      </c>
      <c r="U2642" t="str">
        <f t="shared" si="415"/>
        <v>Off</v>
      </c>
      <c r="V2642" t="str">
        <f t="shared" si="416"/>
        <v>Off</v>
      </c>
      <c r="W2642" t="str">
        <f t="shared" si="416"/>
        <v>Off</v>
      </c>
      <c r="X2642" t="str">
        <f t="shared" si="416"/>
        <v>Off</v>
      </c>
      <c r="Y2642" t="str">
        <f t="shared" si="416"/>
        <v>Off</v>
      </c>
      <c r="Z2642" t="str">
        <f t="shared" si="416"/>
        <v>Off</v>
      </c>
      <c r="AA2642" t="str">
        <f t="shared" si="416"/>
        <v>Off</v>
      </c>
      <c r="AB2642" t="str">
        <f t="shared" si="416"/>
        <v>Off</v>
      </c>
      <c r="AC2642" t="str">
        <f t="shared" si="416"/>
        <v>Off</v>
      </c>
      <c r="AD2642" t="str">
        <f t="shared" si="416"/>
        <v>Off</v>
      </c>
      <c r="AE2642" t="str">
        <f t="shared" si="416"/>
        <v>Off</v>
      </c>
      <c r="AF2642" t="str">
        <f t="shared" si="416"/>
        <v>Off</v>
      </c>
      <c r="AG2642" t="str">
        <f t="shared" si="416"/>
        <v>Off</v>
      </c>
    </row>
    <row r="2643" spans="1:33">
      <c r="A2643" t="s">
        <v>3310</v>
      </c>
      <c r="B2643" t="str">
        <f t="shared" si="414"/>
        <v>Off</v>
      </c>
      <c r="C2643" t="str">
        <f t="shared" si="414"/>
        <v>Off</v>
      </c>
      <c r="D2643" t="str">
        <f t="shared" si="414"/>
        <v>Off</v>
      </c>
      <c r="E2643" t="str">
        <f t="shared" si="414"/>
        <v>Off</v>
      </c>
      <c r="F2643" t="str">
        <f t="shared" si="414"/>
        <v>Off</v>
      </c>
      <c r="G2643" t="str">
        <f t="shared" si="414"/>
        <v>Off</v>
      </c>
      <c r="H2643" t="str">
        <f t="shared" si="414"/>
        <v>Off</v>
      </c>
      <c r="I2643" t="str">
        <f t="shared" si="414"/>
        <v>Off</v>
      </c>
      <c r="J2643" t="str">
        <f t="shared" si="414"/>
        <v>Off</v>
      </c>
      <c r="K2643" t="str">
        <f t="shared" si="414"/>
        <v>Off</v>
      </c>
      <c r="L2643" t="str">
        <f t="shared" si="415"/>
        <v>Off</v>
      </c>
      <c r="M2643" t="str">
        <f t="shared" si="415"/>
        <v>Off</v>
      </c>
      <c r="N2643" t="str">
        <f t="shared" si="415"/>
        <v>Off</v>
      </c>
      <c r="O2643" t="str">
        <f t="shared" si="415"/>
        <v>Off</v>
      </c>
      <c r="P2643" t="str">
        <f t="shared" si="415"/>
        <v>Off</v>
      </c>
      <c r="Q2643" t="str">
        <f t="shared" si="415"/>
        <v>Off</v>
      </c>
      <c r="R2643" t="str">
        <f t="shared" si="415"/>
        <v>Off</v>
      </c>
      <c r="S2643" t="str">
        <f t="shared" si="415"/>
        <v>Off</v>
      </c>
      <c r="T2643" t="str">
        <f t="shared" si="415"/>
        <v>Off</v>
      </c>
      <c r="U2643" t="str">
        <f t="shared" si="415"/>
        <v>Off</v>
      </c>
      <c r="V2643" t="str">
        <f t="shared" si="416"/>
        <v>Off</v>
      </c>
      <c r="W2643" t="str">
        <f t="shared" si="416"/>
        <v>Off</v>
      </c>
      <c r="X2643" t="str">
        <f t="shared" si="416"/>
        <v>Off</v>
      </c>
      <c r="Y2643" t="str">
        <f t="shared" si="416"/>
        <v>Off</v>
      </c>
      <c r="Z2643" t="str">
        <f t="shared" si="416"/>
        <v>Off</v>
      </c>
      <c r="AA2643" t="str">
        <f t="shared" si="416"/>
        <v>Off</v>
      </c>
      <c r="AB2643" t="str">
        <f t="shared" si="416"/>
        <v>Off</v>
      </c>
      <c r="AC2643" t="str">
        <f t="shared" si="416"/>
        <v>Off</v>
      </c>
      <c r="AD2643" t="str">
        <f t="shared" si="416"/>
        <v>Off</v>
      </c>
      <c r="AE2643" t="str">
        <f t="shared" si="416"/>
        <v>Off</v>
      </c>
      <c r="AF2643" t="str">
        <f t="shared" si="416"/>
        <v>Off</v>
      </c>
      <c r="AG2643" t="str">
        <f t="shared" si="416"/>
        <v>Off</v>
      </c>
    </row>
    <row r="2644" spans="1:33">
      <c r="A2644" t="s">
        <v>3311</v>
      </c>
      <c r="B2644" t="str">
        <f t="shared" si="414"/>
        <v>Off</v>
      </c>
      <c r="C2644" t="str">
        <f t="shared" si="414"/>
        <v>Off</v>
      </c>
      <c r="D2644" t="str">
        <f t="shared" si="414"/>
        <v>Off</v>
      </c>
      <c r="E2644" t="str">
        <f t="shared" si="414"/>
        <v>Off</v>
      </c>
      <c r="F2644" t="str">
        <f t="shared" si="414"/>
        <v>Off</v>
      </c>
      <c r="G2644" t="str">
        <f t="shared" si="414"/>
        <v>Off</v>
      </c>
      <c r="H2644" t="str">
        <f t="shared" si="414"/>
        <v>Off</v>
      </c>
      <c r="I2644" t="str">
        <f t="shared" si="414"/>
        <v>Off</v>
      </c>
      <c r="J2644" t="str">
        <f t="shared" si="414"/>
        <v>Off</v>
      </c>
      <c r="K2644" t="str">
        <f t="shared" si="414"/>
        <v>Off</v>
      </c>
      <c r="L2644" t="str">
        <f t="shared" si="415"/>
        <v>Off</v>
      </c>
      <c r="M2644" t="str">
        <f t="shared" si="415"/>
        <v>Off</v>
      </c>
      <c r="N2644" t="str">
        <f t="shared" si="415"/>
        <v>Off</v>
      </c>
      <c r="O2644" t="str">
        <f t="shared" si="415"/>
        <v>Off</v>
      </c>
      <c r="P2644" t="str">
        <f t="shared" si="415"/>
        <v>Off</v>
      </c>
      <c r="Q2644" t="str">
        <f t="shared" si="415"/>
        <v>Off</v>
      </c>
      <c r="R2644" t="str">
        <f t="shared" si="415"/>
        <v>Off</v>
      </c>
      <c r="S2644" t="str">
        <f t="shared" si="415"/>
        <v>Off</v>
      </c>
      <c r="T2644" t="str">
        <f t="shared" si="415"/>
        <v>Off</v>
      </c>
      <c r="U2644" t="str">
        <f t="shared" si="415"/>
        <v>Off</v>
      </c>
      <c r="V2644" t="str">
        <f t="shared" si="416"/>
        <v>Off</v>
      </c>
      <c r="W2644" t="str">
        <f t="shared" si="416"/>
        <v>Off</v>
      </c>
      <c r="X2644" t="str">
        <f t="shared" si="416"/>
        <v>Off</v>
      </c>
      <c r="Y2644" t="str">
        <f t="shared" si="416"/>
        <v>Off</v>
      </c>
      <c r="Z2644" t="str">
        <f t="shared" si="416"/>
        <v>Off</v>
      </c>
      <c r="AA2644" t="str">
        <f t="shared" si="416"/>
        <v>Off</v>
      </c>
      <c r="AB2644" t="str">
        <f t="shared" si="416"/>
        <v>Off</v>
      </c>
      <c r="AC2644" t="str">
        <f t="shared" si="416"/>
        <v>Off</v>
      </c>
      <c r="AD2644" t="str">
        <f t="shared" si="416"/>
        <v>Off</v>
      </c>
      <c r="AE2644" t="str">
        <f t="shared" si="416"/>
        <v>Off</v>
      </c>
      <c r="AF2644" t="str">
        <f t="shared" si="416"/>
        <v>Off</v>
      </c>
      <c r="AG2644" t="str">
        <f t="shared" si="416"/>
        <v>Off</v>
      </c>
    </row>
    <row r="2645" spans="1:33">
      <c r="A2645" t="s">
        <v>3312</v>
      </c>
      <c r="B2645" t="str">
        <f t="shared" si="414"/>
        <v>Off</v>
      </c>
      <c r="C2645" t="str">
        <f t="shared" si="414"/>
        <v>Off</v>
      </c>
      <c r="D2645" t="str">
        <f t="shared" si="414"/>
        <v>Off</v>
      </c>
      <c r="E2645" t="str">
        <f t="shared" si="414"/>
        <v>Off</v>
      </c>
      <c r="F2645" t="str">
        <f t="shared" si="414"/>
        <v>Off</v>
      </c>
      <c r="G2645" t="str">
        <f t="shared" si="414"/>
        <v>Off</v>
      </c>
      <c r="H2645" t="str">
        <f t="shared" si="414"/>
        <v>Off</v>
      </c>
      <c r="I2645" t="str">
        <f t="shared" si="414"/>
        <v>Off</v>
      </c>
      <c r="J2645" t="str">
        <f t="shared" si="414"/>
        <v>Off</v>
      </c>
      <c r="K2645" t="str">
        <f t="shared" si="414"/>
        <v>Off</v>
      </c>
      <c r="L2645" t="str">
        <f t="shared" si="415"/>
        <v>Off</v>
      </c>
      <c r="M2645" t="str">
        <f t="shared" si="415"/>
        <v>Off</v>
      </c>
      <c r="N2645" t="str">
        <f t="shared" si="415"/>
        <v>Off</v>
      </c>
      <c r="O2645" t="str">
        <f t="shared" si="415"/>
        <v>Off</v>
      </c>
      <c r="P2645" t="str">
        <f t="shared" si="415"/>
        <v>Off</v>
      </c>
      <c r="Q2645" t="str">
        <f t="shared" si="415"/>
        <v>Off</v>
      </c>
      <c r="R2645" t="str">
        <f t="shared" si="415"/>
        <v>Off</v>
      </c>
      <c r="S2645" t="str">
        <f t="shared" si="415"/>
        <v>Off</v>
      </c>
      <c r="T2645" t="str">
        <f t="shared" si="415"/>
        <v>Off</v>
      </c>
      <c r="U2645" t="str">
        <f t="shared" si="415"/>
        <v>Off</v>
      </c>
      <c r="V2645" t="str">
        <f t="shared" si="416"/>
        <v>Off</v>
      </c>
      <c r="W2645" t="str">
        <f t="shared" si="416"/>
        <v>Off</v>
      </c>
      <c r="X2645" t="str">
        <f t="shared" si="416"/>
        <v>Off</v>
      </c>
      <c r="Y2645" t="str">
        <f t="shared" si="416"/>
        <v>Off</v>
      </c>
      <c r="Z2645" t="str">
        <f t="shared" si="416"/>
        <v>Off</v>
      </c>
      <c r="AA2645" t="str">
        <f t="shared" si="416"/>
        <v>Off</v>
      </c>
      <c r="AB2645" t="str">
        <f t="shared" si="416"/>
        <v>Off</v>
      </c>
      <c r="AC2645" t="str">
        <f t="shared" si="416"/>
        <v>Off</v>
      </c>
      <c r="AD2645" t="str">
        <f t="shared" si="416"/>
        <v>Off</v>
      </c>
      <c r="AE2645" t="str">
        <f t="shared" si="416"/>
        <v>Off</v>
      </c>
      <c r="AF2645" t="str">
        <f t="shared" si="416"/>
        <v>Off</v>
      </c>
      <c r="AG2645" t="str">
        <f t="shared" si="416"/>
        <v>Off</v>
      </c>
    </row>
    <row r="2646" spans="1:33">
      <c r="A2646" t="s">
        <v>3313</v>
      </c>
      <c r="B2646" t="str">
        <f t="shared" si="414"/>
        <v>Off</v>
      </c>
      <c r="C2646" t="str">
        <f t="shared" si="414"/>
        <v>Off</v>
      </c>
      <c r="D2646" t="str">
        <f t="shared" si="414"/>
        <v>Off</v>
      </c>
      <c r="E2646" t="str">
        <f t="shared" si="414"/>
        <v>Off</v>
      </c>
      <c r="F2646" t="str">
        <f t="shared" si="414"/>
        <v>Off</v>
      </c>
      <c r="G2646" t="str">
        <f t="shared" si="414"/>
        <v>Off</v>
      </c>
      <c r="H2646" t="str">
        <f t="shared" si="414"/>
        <v>Off</v>
      </c>
      <c r="I2646" t="str">
        <f t="shared" si="414"/>
        <v>Off</v>
      </c>
      <c r="J2646" t="str">
        <f t="shared" si="414"/>
        <v>Off</v>
      </c>
      <c r="K2646" t="str">
        <f t="shared" si="414"/>
        <v>Off</v>
      </c>
      <c r="L2646" t="str">
        <f t="shared" si="415"/>
        <v>Off</v>
      </c>
      <c r="M2646" t="str">
        <f t="shared" si="415"/>
        <v>Off</v>
      </c>
      <c r="N2646" t="str">
        <f t="shared" si="415"/>
        <v>Off</v>
      </c>
      <c r="O2646" t="str">
        <f t="shared" si="415"/>
        <v>Off</v>
      </c>
      <c r="P2646" t="str">
        <f t="shared" si="415"/>
        <v>Off</v>
      </c>
      <c r="Q2646" t="str">
        <f t="shared" si="415"/>
        <v>Off</v>
      </c>
      <c r="R2646" t="str">
        <f t="shared" si="415"/>
        <v>Off</v>
      </c>
      <c r="S2646" t="str">
        <f t="shared" si="415"/>
        <v>Off</v>
      </c>
      <c r="T2646" t="str">
        <f t="shared" si="415"/>
        <v>Off</v>
      </c>
      <c r="U2646" t="str">
        <f t="shared" si="415"/>
        <v>Off</v>
      </c>
      <c r="V2646" t="str">
        <f t="shared" si="416"/>
        <v>Off</v>
      </c>
      <c r="W2646" t="str">
        <f t="shared" si="416"/>
        <v>Off</v>
      </c>
      <c r="X2646" t="str">
        <f t="shared" si="416"/>
        <v>Off</v>
      </c>
      <c r="Y2646" t="str">
        <f t="shared" si="416"/>
        <v>Off</v>
      </c>
      <c r="Z2646" t="str">
        <f t="shared" si="416"/>
        <v>Off</v>
      </c>
      <c r="AA2646" t="str">
        <f t="shared" si="416"/>
        <v>Off</v>
      </c>
      <c r="AB2646" t="str">
        <f t="shared" si="416"/>
        <v>Off</v>
      </c>
      <c r="AC2646" t="str">
        <f t="shared" si="416"/>
        <v>Off</v>
      </c>
      <c r="AD2646" t="str">
        <f t="shared" si="416"/>
        <v>Off</v>
      </c>
      <c r="AE2646" t="str">
        <f t="shared" si="416"/>
        <v>Off</v>
      </c>
      <c r="AF2646" t="str">
        <f t="shared" si="416"/>
        <v>Off</v>
      </c>
      <c r="AG2646" t="str">
        <f t="shared" si="416"/>
        <v>Off</v>
      </c>
    </row>
    <row r="2647" spans="1:33">
      <c r="A2647" t="s">
        <v>3314</v>
      </c>
      <c r="B2647" t="str">
        <f t="shared" si="414"/>
        <v>Off</v>
      </c>
      <c r="C2647" t="str">
        <f t="shared" si="414"/>
        <v>Off</v>
      </c>
      <c r="D2647" t="str">
        <f t="shared" si="414"/>
        <v>Off</v>
      </c>
      <c r="E2647" t="str">
        <f t="shared" si="414"/>
        <v>Off</v>
      </c>
      <c r="F2647" t="str">
        <f t="shared" si="414"/>
        <v>Off</v>
      </c>
      <c r="G2647" t="str">
        <f t="shared" si="414"/>
        <v>Off</v>
      </c>
      <c r="H2647" t="str">
        <f t="shared" si="414"/>
        <v>Off</v>
      </c>
      <c r="I2647" t="str">
        <f t="shared" si="414"/>
        <v>Off</v>
      </c>
      <c r="J2647" t="str">
        <f t="shared" si="414"/>
        <v>Off</v>
      </c>
      <c r="K2647" t="str">
        <f t="shared" si="414"/>
        <v>Off</v>
      </c>
      <c r="L2647" t="str">
        <f t="shared" si="415"/>
        <v>Off</v>
      </c>
      <c r="M2647" t="str">
        <f t="shared" si="415"/>
        <v>Off</v>
      </c>
      <c r="N2647" t="str">
        <f t="shared" si="415"/>
        <v>Off</v>
      </c>
      <c r="O2647" t="str">
        <f t="shared" si="415"/>
        <v>Off</v>
      </c>
      <c r="P2647" t="str">
        <f t="shared" si="415"/>
        <v>Off</v>
      </c>
      <c r="Q2647" t="str">
        <f t="shared" si="415"/>
        <v>Off</v>
      </c>
      <c r="R2647" t="str">
        <f t="shared" si="415"/>
        <v>Off</v>
      </c>
      <c r="S2647" t="str">
        <f t="shared" si="415"/>
        <v>Off</v>
      </c>
      <c r="T2647" t="str">
        <f t="shared" si="415"/>
        <v>Off</v>
      </c>
      <c r="U2647" t="str">
        <f t="shared" si="415"/>
        <v>Off</v>
      </c>
      <c r="V2647" t="str">
        <f t="shared" si="416"/>
        <v>Off</v>
      </c>
      <c r="W2647" t="str">
        <f t="shared" si="416"/>
        <v>Off</v>
      </c>
      <c r="X2647" t="str">
        <f t="shared" si="416"/>
        <v>Off</v>
      </c>
      <c r="Y2647" t="str">
        <f t="shared" si="416"/>
        <v>Off</v>
      </c>
      <c r="Z2647" t="str">
        <f t="shared" si="416"/>
        <v>Off</v>
      </c>
      <c r="AA2647" t="str">
        <f t="shared" si="416"/>
        <v>Off</v>
      </c>
      <c r="AB2647" t="str">
        <f t="shared" si="416"/>
        <v>Off</v>
      </c>
      <c r="AC2647" t="str">
        <f t="shared" si="416"/>
        <v>Off</v>
      </c>
      <c r="AD2647" t="str">
        <f t="shared" si="416"/>
        <v>Off</v>
      </c>
      <c r="AE2647" t="str">
        <f t="shared" si="416"/>
        <v>Off</v>
      </c>
      <c r="AF2647" t="str">
        <f t="shared" si="416"/>
        <v>Off</v>
      </c>
      <c r="AG2647" t="str">
        <f t="shared" si="416"/>
        <v>Off</v>
      </c>
    </row>
    <row r="2648" spans="1:33">
      <c r="A2648" t="s">
        <v>3315</v>
      </c>
      <c r="B2648" t="str">
        <f t="shared" si="414"/>
        <v>Off</v>
      </c>
      <c r="C2648" t="str">
        <f t="shared" si="414"/>
        <v>Off</v>
      </c>
      <c r="D2648" t="str">
        <f t="shared" si="414"/>
        <v>Off</v>
      </c>
      <c r="E2648" t="str">
        <f t="shared" si="414"/>
        <v>Off</v>
      </c>
      <c r="F2648" t="str">
        <f t="shared" si="414"/>
        <v>Off</v>
      </c>
      <c r="G2648" t="str">
        <f t="shared" si="414"/>
        <v>Off</v>
      </c>
      <c r="H2648" t="str">
        <f t="shared" si="414"/>
        <v>Off</v>
      </c>
      <c r="I2648" t="str">
        <f t="shared" si="414"/>
        <v>Off</v>
      </c>
      <c r="J2648" t="str">
        <f t="shared" si="414"/>
        <v>Off</v>
      </c>
      <c r="K2648" t="str">
        <f t="shared" si="414"/>
        <v>Off</v>
      </c>
      <c r="L2648" t="str">
        <f t="shared" si="415"/>
        <v>Off</v>
      </c>
      <c r="M2648" t="str">
        <f t="shared" si="415"/>
        <v>Off</v>
      </c>
      <c r="N2648" t="str">
        <f t="shared" si="415"/>
        <v>Off</v>
      </c>
      <c r="O2648" t="str">
        <f t="shared" si="415"/>
        <v>Off</v>
      </c>
      <c r="P2648" t="str">
        <f t="shared" si="415"/>
        <v>Off</v>
      </c>
      <c r="Q2648" t="str">
        <f t="shared" si="415"/>
        <v>Off</v>
      </c>
      <c r="R2648" t="str">
        <f t="shared" si="415"/>
        <v>Off</v>
      </c>
      <c r="S2648" t="str">
        <f t="shared" si="415"/>
        <v>Off</v>
      </c>
      <c r="T2648" t="str">
        <f t="shared" si="415"/>
        <v>Off</v>
      </c>
      <c r="U2648" t="str">
        <f t="shared" si="415"/>
        <v>Off</v>
      </c>
      <c r="V2648" t="str">
        <f t="shared" si="416"/>
        <v>Off</v>
      </c>
      <c r="W2648" t="str">
        <f t="shared" si="416"/>
        <v>Off</v>
      </c>
      <c r="X2648" t="str">
        <f t="shared" si="416"/>
        <v>Off</v>
      </c>
      <c r="Y2648" t="str">
        <f t="shared" si="416"/>
        <v>Off</v>
      </c>
      <c r="Z2648" t="str">
        <f t="shared" si="416"/>
        <v>Off</v>
      </c>
      <c r="AA2648" t="str">
        <f t="shared" si="416"/>
        <v>Off</v>
      </c>
      <c r="AB2648" t="str">
        <f t="shared" si="416"/>
        <v>Off</v>
      </c>
      <c r="AC2648" t="str">
        <f t="shared" si="416"/>
        <v>Off</v>
      </c>
      <c r="AD2648" t="str">
        <f t="shared" si="416"/>
        <v>Off</v>
      </c>
      <c r="AE2648" t="str">
        <f t="shared" si="416"/>
        <v>Off</v>
      </c>
      <c r="AF2648" t="str">
        <f t="shared" si="416"/>
        <v>Off</v>
      </c>
      <c r="AG2648" t="str">
        <f t="shared" si="416"/>
        <v>Off</v>
      </c>
    </row>
    <row r="2649" spans="1:33">
      <c r="A2649" t="s">
        <v>3316</v>
      </c>
      <c r="B2649" t="str">
        <f t="shared" ref="B2649:K2654" si="417">"Off"</f>
        <v>Off</v>
      </c>
      <c r="C2649" t="str">
        <f t="shared" si="417"/>
        <v>Off</v>
      </c>
      <c r="D2649" t="str">
        <f t="shared" si="417"/>
        <v>Off</v>
      </c>
      <c r="E2649" t="str">
        <f t="shared" si="417"/>
        <v>Off</v>
      </c>
      <c r="F2649" t="str">
        <f t="shared" si="417"/>
        <v>Off</v>
      </c>
      <c r="G2649" t="str">
        <f t="shared" si="417"/>
        <v>Off</v>
      </c>
      <c r="H2649" t="str">
        <f t="shared" si="417"/>
        <v>Off</v>
      </c>
      <c r="I2649" t="str">
        <f t="shared" si="417"/>
        <v>Off</v>
      </c>
      <c r="J2649" t="str">
        <f t="shared" si="417"/>
        <v>Off</v>
      </c>
      <c r="K2649" t="str">
        <f t="shared" si="417"/>
        <v>Off</v>
      </c>
      <c r="L2649" t="str">
        <f t="shared" ref="L2649:U2654" si="418">"Off"</f>
        <v>Off</v>
      </c>
      <c r="M2649" t="str">
        <f t="shared" si="418"/>
        <v>Off</v>
      </c>
      <c r="N2649" t="str">
        <f t="shared" si="418"/>
        <v>Off</v>
      </c>
      <c r="O2649" t="str">
        <f t="shared" si="418"/>
        <v>Off</v>
      </c>
      <c r="P2649" t="str">
        <f t="shared" si="418"/>
        <v>Off</v>
      </c>
      <c r="Q2649" t="str">
        <f t="shared" si="418"/>
        <v>Off</v>
      </c>
      <c r="R2649" t="str">
        <f t="shared" si="418"/>
        <v>Off</v>
      </c>
      <c r="S2649" t="str">
        <f t="shared" si="418"/>
        <v>Off</v>
      </c>
      <c r="T2649" t="str">
        <f t="shared" si="418"/>
        <v>Off</v>
      </c>
      <c r="U2649" t="str">
        <f t="shared" si="418"/>
        <v>Off</v>
      </c>
      <c r="V2649" t="str">
        <f t="shared" ref="V2649:AG2654" si="419">"Off"</f>
        <v>Off</v>
      </c>
      <c r="W2649" t="str">
        <f t="shared" si="419"/>
        <v>Off</v>
      </c>
      <c r="X2649" t="str">
        <f t="shared" si="419"/>
        <v>Off</v>
      </c>
      <c r="Y2649" t="str">
        <f t="shared" si="419"/>
        <v>Off</v>
      </c>
      <c r="Z2649" t="str">
        <f t="shared" si="419"/>
        <v>Off</v>
      </c>
      <c r="AA2649" t="str">
        <f t="shared" si="419"/>
        <v>Off</v>
      </c>
      <c r="AB2649" t="str">
        <f t="shared" si="419"/>
        <v>Off</v>
      </c>
      <c r="AC2649" t="str">
        <f t="shared" si="419"/>
        <v>Off</v>
      </c>
      <c r="AD2649" t="str">
        <f t="shared" si="419"/>
        <v>Off</v>
      </c>
      <c r="AE2649" t="str">
        <f t="shared" si="419"/>
        <v>Off</v>
      </c>
      <c r="AF2649" t="str">
        <f t="shared" si="419"/>
        <v>Off</v>
      </c>
      <c r="AG2649" t="str">
        <f t="shared" si="419"/>
        <v>Off</v>
      </c>
    </row>
    <row r="2650" spans="1:33">
      <c r="A2650" t="s">
        <v>3317</v>
      </c>
      <c r="B2650" t="str">
        <f t="shared" si="417"/>
        <v>Off</v>
      </c>
      <c r="C2650" t="str">
        <f t="shared" si="417"/>
        <v>Off</v>
      </c>
      <c r="D2650" t="str">
        <f t="shared" si="417"/>
        <v>Off</v>
      </c>
      <c r="E2650" t="str">
        <f t="shared" si="417"/>
        <v>Off</v>
      </c>
      <c r="F2650" t="str">
        <f t="shared" si="417"/>
        <v>Off</v>
      </c>
      <c r="G2650" t="str">
        <f t="shared" si="417"/>
        <v>Off</v>
      </c>
      <c r="H2650" t="str">
        <f t="shared" si="417"/>
        <v>Off</v>
      </c>
      <c r="I2650" t="str">
        <f t="shared" si="417"/>
        <v>Off</v>
      </c>
      <c r="J2650" t="str">
        <f t="shared" si="417"/>
        <v>Off</v>
      </c>
      <c r="K2650" t="str">
        <f t="shared" si="417"/>
        <v>Off</v>
      </c>
      <c r="L2650" t="str">
        <f t="shared" si="418"/>
        <v>Off</v>
      </c>
      <c r="M2650" t="str">
        <f t="shared" si="418"/>
        <v>Off</v>
      </c>
      <c r="N2650" t="str">
        <f t="shared" si="418"/>
        <v>Off</v>
      </c>
      <c r="O2650" t="str">
        <f t="shared" si="418"/>
        <v>Off</v>
      </c>
      <c r="P2650" t="str">
        <f t="shared" si="418"/>
        <v>Off</v>
      </c>
      <c r="Q2650" t="str">
        <f t="shared" si="418"/>
        <v>Off</v>
      </c>
      <c r="R2650" t="str">
        <f t="shared" si="418"/>
        <v>Off</v>
      </c>
      <c r="S2650" t="str">
        <f t="shared" si="418"/>
        <v>Off</v>
      </c>
      <c r="T2650" t="str">
        <f t="shared" si="418"/>
        <v>Off</v>
      </c>
      <c r="U2650" t="str">
        <f t="shared" si="418"/>
        <v>Off</v>
      </c>
      <c r="V2650" t="str">
        <f t="shared" si="419"/>
        <v>Off</v>
      </c>
      <c r="W2650" t="str">
        <f t="shared" si="419"/>
        <v>Off</v>
      </c>
      <c r="X2650" t="str">
        <f t="shared" si="419"/>
        <v>Off</v>
      </c>
      <c r="Y2650" t="str">
        <f t="shared" si="419"/>
        <v>Off</v>
      </c>
      <c r="Z2650" t="str">
        <f t="shared" si="419"/>
        <v>Off</v>
      </c>
      <c r="AA2650" t="str">
        <f t="shared" si="419"/>
        <v>Off</v>
      </c>
      <c r="AB2650" t="str">
        <f t="shared" si="419"/>
        <v>Off</v>
      </c>
      <c r="AC2650" t="str">
        <f t="shared" si="419"/>
        <v>Off</v>
      </c>
      <c r="AD2650" t="str">
        <f t="shared" si="419"/>
        <v>Off</v>
      </c>
      <c r="AE2650" t="str">
        <f t="shared" si="419"/>
        <v>Off</v>
      </c>
      <c r="AF2650" t="str">
        <f t="shared" si="419"/>
        <v>Off</v>
      </c>
      <c r="AG2650" t="str">
        <f t="shared" si="419"/>
        <v>Off</v>
      </c>
    </row>
    <row r="2651" spans="1:33">
      <c r="A2651" t="s">
        <v>3318</v>
      </c>
      <c r="B2651" t="str">
        <f t="shared" si="417"/>
        <v>Off</v>
      </c>
      <c r="C2651" t="str">
        <f t="shared" si="417"/>
        <v>Off</v>
      </c>
      <c r="D2651" t="str">
        <f t="shared" si="417"/>
        <v>Off</v>
      </c>
      <c r="E2651" t="str">
        <f t="shared" si="417"/>
        <v>Off</v>
      </c>
      <c r="F2651" t="str">
        <f t="shared" si="417"/>
        <v>Off</v>
      </c>
      <c r="G2651" t="str">
        <f t="shared" si="417"/>
        <v>Off</v>
      </c>
      <c r="H2651" t="str">
        <f t="shared" si="417"/>
        <v>Off</v>
      </c>
      <c r="I2651" t="str">
        <f t="shared" si="417"/>
        <v>Off</v>
      </c>
      <c r="J2651" t="str">
        <f t="shared" si="417"/>
        <v>Off</v>
      </c>
      <c r="K2651" t="str">
        <f t="shared" si="417"/>
        <v>Off</v>
      </c>
      <c r="L2651" t="str">
        <f t="shared" si="418"/>
        <v>Off</v>
      </c>
      <c r="M2651" t="str">
        <f t="shared" si="418"/>
        <v>Off</v>
      </c>
      <c r="N2651" t="str">
        <f t="shared" si="418"/>
        <v>Off</v>
      </c>
      <c r="O2651" t="str">
        <f t="shared" si="418"/>
        <v>Off</v>
      </c>
      <c r="P2651" t="str">
        <f t="shared" si="418"/>
        <v>Off</v>
      </c>
      <c r="Q2651" t="str">
        <f t="shared" si="418"/>
        <v>Off</v>
      </c>
      <c r="R2651" t="str">
        <f t="shared" si="418"/>
        <v>Off</v>
      </c>
      <c r="S2651" t="str">
        <f t="shared" si="418"/>
        <v>Off</v>
      </c>
      <c r="T2651" t="str">
        <f t="shared" si="418"/>
        <v>Off</v>
      </c>
      <c r="U2651" t="str">
        <f t="shared" si="418"/>
        <v>Off</v>
      </c>
      <c r="V2651" t="str">
        <f t="shared" si="419"/>
        <v>Off</v>
      </c>
      <c r="W2651" t="str">
        <f t="shared" si="419"/>
        <v>Off</v>
      </c>
      <c r="X2651" t="str">
        <f t="shared" si="419"/>
        <v>Off</v>
      </c>
      <c r="Y2651" t="str">
        <f t="shared" si="419"/>
        <v>Off</v>
      </c>
      <c r="Z2651" t="str">
        <f t="shared" si="419"/>
        <v>Off</v>
      </c>
      <c r="AA2651" t="str">
        <f t="shared" si="419"/>
        <v>Off</v>
      </c>
      <c r="AB2651" t="str">
        <f t="shared" si="419"/>
        <v>Off</v>
      </c>
      <c r="AC2651" t="str">
        <f t="shared" si="419"/>
        <v>Off</v>
      </c>
      <c r="AD2651" t="str">
        <f t="shared" si="419"/>
        <v>Off</v>
      </c>
      <c r="AE2651" t="str">
        <f t="shared" si="419"/>
        <v>Off</v>
      </c>
      <c r="AF2651" t="str">
        <f t="shared" si="419"/>
        <v>Off</v>
      </c>
      <c r="AG2651" t="str">
        <f t="shared" si="419"/>
        <v>Off</v>
      </c>
    </row>
    <row r="2652" spans="1:33">
      <c r="A2652" t="s">
        <v>3319</v>
      </c>
      <c r="B2652" t="str">
        <f t="shared" si="417"/>
        <v>Off</v>
      </c>
      <c r="C2652" t="str">
        <f t="shared" si="417"/>
        <v>Off</v>
      </c>
      <c r="D2652" t="str">
        <f t="shared" si="417"/>
        <v>Off</v>
      </c>
      <c r="E2652" t="str">
        <f t="shared" si="417"/>
        <v>Off</v>
      </c>
      <c r="F2652" t="str">
        <f t="shared" si="417"/>
        <v>Off</v>
      </c>
      <c r="G2652" t="str">
        <f t="shared" si="417"/>
        <v>Off</v>
      </c>
      <c r="H2652" t="str">
        <f t="shared" si="417"/>
        <v>Off</v>
      </c>
      <c r="I2652" t="str">
        <f t="shared" si="417"/>
        <v>Off</v>
      </c>
      <c r="J2652" t="str">
        <f t="shared" si="417"/>
        <v>Off</v>
      </c>
      <c r="K2652" t="str">
        <f t="shared" si="417"/>
        <v>Off</v>
      </c>
      <c r="L2652" t="str">
        <f t="shared" si="418"/>
        <v>Off</v>
      </c>
      <c r="M2652" t="str">
        <f t="shared" si="418"/>
        <v>Off</v>
      </c>
      <c r="N2652" t="str">
        <f t="shared" si="418"/>
        <v>Off</v>
      </c>
      <c r="O2652" t="str">
        <f t="shared" si="418"/>
        <v>Off</v>
      </c>
      <c r="P2652" t="str">
        <f t="shared" si="418"/>
        <v>Off</v>
      </c>
      <c r="Q2652" t="str">
        <f t="shared" si="418"/>
        <v>Off</v>
      </c>
      <c r="R2652" t="str">
        <f t="shared" si="418"/>
        <v>Off</v>
      </c>
      <c r="S2652" t="str">
        <f t="shared" si="418"/>
        <v>Off</v>
      </c>
      <c r="T2652" t="str">
        <f t="shared" si="418"/>
        <v>Off</v>
      </c>
      <c r="U2652" t="str">
        <f t="shared" si="418"/>
        <v>Off</v>
      </c>
      <c r="V2652" t="str">
        <f t="shared" si="419"/>
        <v>Off</v>
      </c>
      <c r="W2652" t="str">
        <f t="shared" si="419"/>
        <v>Off</v>
      </c>
      <c r="X2652" t="str">
        <f t="shared" si="419"/>
        <v>Off</v>
      </c>
      <c r="Y2652" t="str">
        <f t="shared" si="419"/>
        <v>Off</v>
      </c>
      <c r="Z2652" t="str">
        <f t="shared" si="419"/>
        <v>Off</v>
      </c>
      <c r="AA2652" t="str">
        <f t="shared" si="419"/>
        <v>Off</v>
      </c>
      <c r="AB2652" t="str">
        <f t="shared" si="419"/>
        <v>Off</v>
      </c>
      <c r="AC2652" t="str">
        <f t="shared" si="419"/>
        <v>Off</v>
      </c>
      <c r="AD2652" t="str">
        <f t="shared" si="419"/>
        <v>Off</v>
      </c>
      <c r="AE2652" t="str">
        <f t="shared" si="419"/>
        <v>Off</v>
      </c>
      <c r="AF2652" t="str">
        <f t="shared" si="419"/>
        <v>Off</v>
      </c>
      <c r="AG2652" t="str">
        <f t="shared" si="419"/>
        <v>Off</v>
      </c>
    </row>
    <row r="2653" spans="1:33">
      <c r="A2653" t="s">
        <v>3320</v>
      </c>
      <c r="B2653" t="str">
        <f t="shared" si="417"/>
        <v>Off</v>
      </c>
      <c r="C2653" t="str">
        <f t="shared" si="417"/>
        <v>Off</v>
      </c>
      <c r="D2653" t="str">
        <f t="shared" si="417"/>
        <v>Off</v>
      </c>
      <c r="E2653" t="str">
        <f t="shared" si="417"/>
        <v>Off</v>
      </c>
      <c r="F2653" t="str">
        <f t="shared" si="417"/>
        <v>Off</v>
      </c>
      <c r="G2653" t="str">
        <f t="shared" si="417"/>
        <v>Off</v>
      </c>
      <c r="H2653" t="str">
        <f t="shared" si="417"/>
        <v>Off</v>
      </c>
      <c r="I2653" t="str">
        <f t="shared" si="417"/>
        <v>Off</v>
      </c>
      <c r="J2653" t="str">
        <f t="shared" si="417"/>
        <v>Off</v>
      </c>
      <c r="K2653" t="str">
        <f t="shared" si="417"/>
        <v>Off</v>
      </c>
      <c r="L2653" t="str">
        <f t="shared" si="418"/>
        <v>Off</v>
      </c>
      <c r="M2653" t="str">
        <f t="shared" si="418"/>
        <v>Off</v>
      </c>
      <c r="N2653" t="str">
        <f t="shared" si="418"/>
        <v>Off</v>
      </c>
      <c r="O2653" t="str">
        <f t="shared" si="418"/>
        <v>Off</v>
      </c>
      <c r="P2653" t="str">
        <f t="shared" si="418"/>
        <v>Off</v>
      </c>
      <c r="Q2653" t="str">
        <f t="shared" si="418"/>
        <v>Off</v>
      </c>
      <c r="R2653" t="str">
        <f t="shared" si="418"/>
        <v>Off</v>
      </c>
      <c r="S2653" t="str">
        <f t="shared" si="418"/>
        <v>Off</v>
      </c>
      <c r="T2653" t="str">
        <f t="shared" si="418"/>
        <v>Off</v>
      </c>
      <c r="U2653" t="str">
        <f t="shared" si="418"/>
        <v>Off</v>
      </c>
      <c r="V2653" t="str">
        <f t="shared" si="419"/>
        <v>Off</v>
      </c>
      <c r="W2653" t="str">
        <f t="shared" si="419"/>
        <v>Off</v>
      </c>
      <c r="X2653" t="str">
        <f t="shared" si="419"/>
        <v>Off</v>
      </c>
      <c r="Y2653" t="str">
        <f t="shared" si="419"/>
        <v>Off</v>
      </c>
      <c r="Z2653" t="str">
        <f t="shared" si="419"/>
        <v>Off</v>
      </c>
      <c r="AA2653" t="str">
        <f t="shared" si="419"/>
        <v>Off</v>
      </c>
      <c r="AB2653" t="str">
        <f t="shared" si="419"/>
        <v>Off</v>
      </c>
      <c r="AC2653" t="str">
        <f t="shared" si="419"/>
        <v>Off</v>
      </c>
      <c r="AD2653" t="str">
        <f t="shared" si="419"/>
        <v>Off</v>
      </c>
      <c r="AE2653" t="str">
        <f t="shared" si="419"/>
        <v>Off</v>
      </c>
      <c r="AF2653" t="str">
        <f t="shared" si="419"/>
        <v>Off</v>
      </c>
      <c r="AG2653" t="str">
        <f t="shared" si="419"/>
        <v>Off</v>
      </c>
    </row>
    <row r="2654" spans="1:33">
      <c r="A2654" t="s">
        <v>3321</v>
      </c>
      <c r="B2654" t="str">
        <f t="shared" si="417"/>
        <v>Off</v>
      </c>
      <c r="C2654" t="str">
        <f t="shared" si="417"/>
        <v>Off</v>
      </c>
      <c r="D2654" t="str">
        <f t="shared" si="417"/>
        <v>Off</v>
      </c>
      <c r="E2654" t="str">
        <f t="shared" si="417"/>
        <v>Off</v>
      </c>
      <c r="F2654" t="str">
        <f t="shared" si="417"/>
        <v>Off</v>
      </c>
      <c r="G2654" t="str">
        <f t="shared" si="417"/>
        <v>Off</v>
      </c>
      <c r="H2654" t="str">
        <f t="shared" si="417"/>
        <v>Off</v>
      </c>
      <c r="I2654" t="str">
        <f t="shared" si="417"/>
        <v>Off</v>
      </c>
      <c r="J2654" t="str">
        <f t="shared" si="417"/>
        <v>Off</v>
      </c>
      <c r="K2654" t="str">
        <f t="shared" si="417"/>
        <v>Off</v>
      </c>
      <c r="L2654" t="str">
        <f t="shared" si="418"/>
        <v>Off</v>
      </c>
      <c r="M2654" t="str">
        <f t="shared" si="418"/>
        <v>Off</v>
      </c>
      <c r="N2654" t="str">
        <f t="shared" si="418"/>
        <v>Off</v>
      </c>
      <c r="O2654" t="str">
        <f t="shared" si="418"/>
        <v>Off</v>
      </c>
      <c r="P2654" t="str">
        <f t="shared" si="418"/>
        <v>Off</v>
      </c>
      <c r="Q2654" t="str">
        <f t="shared" si="418"/>
        <v>Off</v>
      </c>
      <c r="R2654" t="str">
        <f t="shared" si="418"/>
        <v>Off</v>
      </c>
      <c r="S2654" t="str">
        <f t="shared" si="418"/>
        <v>Off</v>
      </c>
      <c r="T2654" t="str">
        <f t="shared" si="418"/>
        <v>Off</v>
      </c>
      <c r="U2654" t="str">
        <f t="shared" si="418"/>
        <v>Off</v>
      </c>
      <c r="V2654" t="str">
        <f t="shared" si="419"/>
        <v>Off</v>
      </c>
      <c r="W2654" t="str">
        <f t="shared" si="419"/>
        <v>Off</v>
      </c>
      <c r="X2654" t="str">
        <f t="shared" si="419"/>
        <v>Off</v>
      </c>
      <c r="Y2654" t="str">
        <f t="shared" si="419"/>
        <v>Off</v>
      </c>
      <c r="Z2654" t="str">
        <f t="shared" si="419"/>
        <v>Off</v>
      </c>
      <c r="AA2654" t="str">
        <f t="shared" si="419"/>
        <v>Off</v>
      </c>
      <c r="AB2654" t="str">
        <f t="shared" si="419"/>
        <v>Off</v>
      </c>
      <c r="AC2654" t="str">
        <f t="shared" si="419"/>
        <v>Off</v>
      </c>
      <c r="AD2654" t="str">
        <f t="shared" si="419"/>
        <v>Off</v>
      </c>
      <c r="AE2654" t="str">
        <f t="shared" si="419"/>
        <v>Off</v>
      </c>
      <c r="AF2654" t="str">
        <f t="shared" si="419"/>
        <v>Off</v>
      </c>
      <c r="AG2654" t="str">
        <f t="shared" si="419"/>
        <v>Off</v>
      </c>
    </row>
    <row r="2655" spans="1:33">
      <c r="A2655" t="s">
        <v>3322</v>
      </c>
      <c r="B2655">
        <v>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</row>
    <row r="2656" spans="1:33">
      <c r="A2656" t="s">
        <v>3323</v>
      </c>
      <c r="B2656">
        <v>0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</row>
    <row r="2657" spans="1:33">
      <c r="A2657" t="s">
        <v>3324</v>
      </c>
      <c r="B2657">
        <v>0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</row>
    <row r="2658" spans="1:33">
      <c r="A2658" t="s">
        <v>3325</v>
      </c>
      <c r="B2658">
        <v>0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</row>
    <row r="2659" spans="1:33">
      <c r="A2659" t="s">
        <v>3326</v>
      </c>
      <c r="B2659">
        <v>0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</row>
    <row r="2660" spans="1:33">
      <c r="A2660" t="s">
        <v>3327</v>
      </c>
      <c r="B2660">
        <v>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</row>
    <row r="2661" spans="1:33">
      <c r="A2661" t="s">
        <v>3328</v>
      </c>
      <c r="B2661">
        <v>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</row>
    <row r="2662" spans="1:33">
      <c r="A2662" t="s">
        <v>3329</v>
      </c>
      <c r="B2662">
        <v>0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</row>
    <row r="2663" spans="1:33">
      <c r="A2663" t="s">
        <v>3330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</row>
    <row r="2664" spans="1:33">
      <c r="A2664" t="s">
        <v>3331</v>
      </c>
      <c r="B2664">
        <v>0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</row>
    <row r="2665" spans="1:33">
      <c r="A2665" t="s">
        <v>3332</v>
      </c>
      <c r="B2665">
        <v>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</row>
    <row r="2666" spans="1:33">
      <c r="A2666" t="s">
        <v>3333</v>
      </c>
      <c r="B2666">
        <v>0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</row>
    <row r="2667" spans="1:33">
      <c r="A2667" t="s">
        <v>3334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</row>
    <row r="2668" spans="1:33">
      <c r="A2668" t="s">
        <v>3335</v>
      </c>
      <c r="B2668">
        <v>0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</row>
    <row r="2669" spans="1:33">
      <c r="A2669" t="s">
        <v>3336</v>
      </c>
      <c r="B2669">
        <v>0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</row>
    <row r="2670" spans="1:33">
      <c r="A2670" t="s">
        <v>3337</v>
      </c>
      <c r="B2670">
        <v>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</row>
    <row r="2671" spans="1:33">
      <c r="A2671" t="s">
        <v>3338</v>
      </c>
      <c r="B2671">
        <v>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</row>
    <row r="2672" spans="1:33">
      <c r="A2672" t="s">
        <v>3339</v>
      </c>
      <c r="B2672">
        <v>0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</row>
    <row r="2673" spans="1:33">
      <c r="A2673" t="s">
        <v>3340</v>
      </c>
      <c r="B2673">
        <v>0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</row>
    <row r="2674" spans="1:33">
      <c r="A2674" t="s">
        <v>3341</v>
      </c>
      <c r="B2674">
        <v>0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</row>
    <row r="2675" spans="1:33">
      <c r="A2675" t="s">
        <v>3342</v>
      </c>
      <c r="B2675">
        <v>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</row>
    <row r="2676" spans="1:33">
      <c r="A2676" t="s">
        <v>3343</v>
      </c>
      <c r="B2676">
        <v>0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</row>
    <row r="2677" spans="1:33">
      <c r="A2677" t="s">
        <v>3344</v>
      </c>
      <c r="B2677">
        <v>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</row>
    <row r="2678" spans="1:33">
      <c r="A2678" t="s">
        <v>3345</v>
      </c>
      <c r="B2678">
        <v>0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</row>
    <row r="2679" spans="1:33">
      <c r="A2679" t="s">
        <v>3346</v>
      </c>
      <c r="B2679">
        <v>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</row>
    <row r="2680" spans="1:33">
      <c r="A2680" t="s">
        <v>3347</v>
      </c>
      <c r="B2680">
        <v>0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</row>
    <row r="2681" spans="1:33">
      <c r="A2681" t="s">
        <v>3348</v>
      </c>
      <c r="B2681">
        <v>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</row>
    <row r="2682" spans="1:33">
      <c r="A2682" t="s">
        <v>3349</v>
      </c>
      <c r="B2682">
        <v>0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</row>
    <row r="2683" spans="1:33">
      <c r="A2683" t="s">
        <v>3350</v>
      </c>
      <c r="B2683">
        <v>0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</row>
    <row r="2684" spans="1:33">
      <c r="A2684" t="s">
        <v>3351</v>
      </c>
      <c r="B2684">
        <v>0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</row>
    <row r="2685" spans="1:33">
      <c r="A2685" t="s">
        <v>3352</v>
      </c>
      <c r="B2685">
        <v>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</row>
    <row r="2686" spans="1:33">
      <c r="A2686" t="s">
        <v>3353</v>
      </c>
      <c r="B2686">
        <v>0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</row>
    <row r="2687" spans="1:33">
      <c r="A2687" t="s">
        <v>3354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</row>
    <row r="2688" spans="1:33">
      <c r="A2688" t="s">
        <v>3355</v>
      </c>
      <c r="B2688">
        <v>0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</row>
    <row r="2689" spans="1:33">
      <c r="A2689" t="s">
        <v>3356</v>
      </c>
      <c r="B2689">
        <v>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</row>
    <row r="2690" spans="1:33">
      <c r="A2690" t="s">
        <v>3357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</row>
    <row r="2691" spans="1:33">
      <c r="A2691" t="s">
        <v>3358</v>
      </c>
      <c r="B2691">
        <v>0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</row>
    <row r="2692" spans="1:33">
      <c r="A2692" t="s">
        <v>3359</v>
      </c>
      <c r="B2692">
        <v>0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</row>
    <row r="2693" spans="1:33">
      <c r="A2693" t="s">
        <v>3360</v>
      </c>
      <c r="B2693">
        <v>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</row>
    <row r="2694" spans="1:33">
      <c r="A2694" t="s">
        <v>3361</v>
      </c>
      <c r="B2694">
        <v>0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</row>
    <row r="2695" spans="1:33">
      <c r="A2695" t="s">
        <v>3362</v>
      </c>
      <c r="B2695">
        <v>0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</row>
    <row r="2696" spans="1:33">
      <c r="A2696" t="s">
        <v>3363</v>
      </c>
      <c r="B2696">
        <v>0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</row>
    <row r="2697" spans="1:33">
      <c r="A2697" t="s">
        <v>3364</v>
      </c>
      <c r="B2697">
        <v>0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</row>
    <row r="2698" spans="1:33">
      <c r="A2698" t="s">
        <v>3365</v>
      </c>
      <c r="B2698">
        <v>0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</row>
    <row r="2699" spans="1:33">
      <c r="A2699" t="s">
        <v>3366</v>
      </c>
      <c r="B2699">
        <v>0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</row>
    <row r="2700" spans="1:33">
      <c r="A2700" t="s">
        <v>3367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</row>
    <row r="2701" spans="1:33">
      <c r="A2701" t="s">
        <v>3368</v>
      </c>
      <c r="B2701">
        <v>0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</row>
    <row r="2702" spans="1:33">
      <c r="A2702" t="s">
        <v>3369</v>
      </c>
      <c r="B2702">
        <v>0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</row>
    <row r="2703" spans="1:33">
      <c r="A2703" t="s">
        <v>3370</v>
      </c>
      <c r="B2703">
        <v>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</row>
    <row r="2705" spans="1:5">
      <c r="B2705" t="s">
        <v>3371</v>
      </c>
      <c r="C2705">
        <v>1</v>
      </c>
      <c r="D2705">
        <v>4</v>
      </c>
      <c r="E2705">
        <v>1</v>
      </c>
    </row>
    <row r="2706" spans="1:5">
      <c r="B2706" t="s">
        <v>193</v>
      </c>
      <c r="C2706" t="s">
        <v>196</v>
      </c>
      <c r="D2706" t="s">
        <v>3372</v>
      </c>
      <c r="E2706" t="s">
        <v>3373</v>
      </c>
    </row>
    <row r="2707" spans="1:5">
      <c r="A2707" t="s">
        <v>3374</v>
      </c>
      <c r="B2707" t="str">
        <f>"SP5S"</f>
        <v>SP5S</v>
      </c>
      <c r="C2707" t="str">
        <f>"OFF"</f>
        <v>OFF</v>
      </c>
      <c r="D2707" t="str">
        <f>"OFF"</f>
        <v>OFF</v>
      </c>
      <c r="E2707" t="str">
        <f>"OFF"</f>
        <v>OFF</v>
      </c>
    </row>
    <row r="2709" spans="1:5">
      <c r="B2709" t="s">
        <v>3375</v>
      </c>
      <c r="C2709">
        <v>8</v>
      </c>
      <c r="D2709">
        <v>1</v>
      </c>
      <c r="E2709">
        <v>1</v>
      </c>
    </row>
    <row r="2710" spans="1:5">
      <c r="B2710" t="s">
        <v>1508</v>
      </c>
    </row>
    <row r="2711" spans="1:5">
      <c r="A2711" t="s">
        <v>10</v>
      </c>
      <c r="B2711" t="str">
        <f>"ENABLE"</f>
        <v>ENABLE</v>
      </c>
    </row>
    <row r="2712" spans="1:5">
      <c r="A2712" t="s">
        <v>3376</v>
      </c>
      <c r="B2712">
        <v>11</v>
      </c>
    </row>
    <row r="2713" spans="1:5">
      <c r="A2713" t="s">
        <v>3377</v>
      </c>
      <c r="B2713" t="str">
        <f>"1"</f>
        <v>1</v>
      </c>
    </row>
    <row r="2714" spans="1:5">
      <c r="A2714" t="s">
        <v>3378</v>
      </c>
      <c r="B2714">
        <v>3</v>
      </c>
    </row>
    <row r="2715" spans="1:5">
      <c r="A2715" t="s">
        <v>3379</v>
      </c>
      <c r="B2715" t="str">
        <f>"2"</f>
        <v>2</v>
      </c>
    </row>
    <row r="2716" spans="1:5">
      <c r="A2716" t="s">
        <v>3380</v>
      </c>
      <c r="B2716" t="str">
        <f>"-"</f>
        <v>-</v>
      </c>
    </row>
    <row r="2717" spans="1:5">
      <c r="A2717" t="s">
        <v>3381</v>
      </c>
      <c r="B2717">
        <v>8</v>
      </c>
    </row>
    <row r="2718" spans="1:5">
      <c r="A2718" t="s">
        <v>3382</v>
      </c>
      <c r="B2718">
        <v>0</v>
      </c>
    </row>
    <row r="2720" spans="1:5">
      <c r="B2720" t="s">
        <v>3383</v>
      </c>
      <c r="C2720">
        <v>44</v>
      </c>
      <c r="D2720">
        <v>32</v>
      </c>
      <c r="E2720">
        <v>1</v>
      </c>
    </row>
    <row r="2721" spans="1:33">
      <c r="B2721" t="s">
        <v>3384</v>
      </c>
      <c r="C2721" t="s">
        <v>3385</v>
      </c>
      <c r="D2721" t="s">
        <v>3386</v>
      </c>
      <c r="E2721" t="s">
        <v>3387</v>
      </c>
      <c r="F2721" t="s">
        <v>3388</v>
      </c>
      <c r="G2721" t="s">
        <v>3389</v>
      </c>
      <c r="H2721" t="s">
        <v>3390</v>
      </c>
      <c r="I2721" t="s">
        <v>3391</v>
      </c>
      <c r="J2721" t="s">
        <v>3392</v>
      </c>
      <c r="K2721" t="s">
        <v>3393</v>
      </c>
      <c r="L2721" t="s">
        <v>3394</v>
      </c>
      <c r="M2721" t="s">
        <v>3395</v>
      </c>
      <c r="N2721" t="s">
        <v>3396</v>
      </c>
      <c r="O2721" t="s">
        <v>3397</v>
      </c>
      <c r="P2721" t="s">
        <v>3398</v>
      </c>
      <c r="Q2721" t="s">
        <v>3399</v>
      </c>
      <c r="R2721" t="s">
        <v>3400</v>
      </c>
      <c r="S2721" t="s">
        <v>3401</v>
      </c>
      <c r="T2721" t="s">
        <v>3402</v>
      </c>
      <c r="U2721" t="s">
        <v>3403</v>
      </c>
      <c r="V2721" t="s">
        <v>3404</v>
      </c>
      <c r="W2721" t="s">
        <v>3405</v>
      </c>
      <c r="X2721" t="s">
        <v>3406</v>
      </c>
      <c r="Y2721" t="s">
        <v>3407</v>
      </c>
      <c r="Z2721" t="s">
        <v>3408</v>
      </c>
      <c r="AA2721" t="s">
        <v>3409</v>
      </c>
      <c r="AB2721" t="s">
        <v>3410</v>
      </c>
      <c r="AC2721" t="s">
        <v>3411</v>
      </c>
      <c r="AD2721" t="s">
        <v>3412</v>
      </c>
      <c r="AE2721" t="s">
        <v>3413</v>
      </c>
      <c r="AF2721" t="s">
        <v>3414</v>
      </c>
      <c r="AG2721" t="s">
        <v>3415</v>
      </c>
    </row>
    <row r="2722" spans="1:33">
      <c r="A2722" t="s">
        <v>3416</v>
      </c>
      <c r="B2722">
        <v>0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</row>
    <row r="2723" spans="1:33">
      <c r="A2723" t="s">
        <v>3417</v>
      </c>
      <c r="B2723">
        <v>0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</row>
    <row r="2724" spans="1:33">
      <c r="A2724" t="s">
        <v>3418</v>
      </c>
      <c r="B2724">
        <v>0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</row>
    <row r="2725" spans="1:33">
      <c r="A2725" t="s">
        <v>3419</v>
      </c>
      <c r="B2725">
        <v>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</row>
    <row r="2726" spans="1:33">
      <c r="A2726" t="s">
        <v>3420</v>
      </c>
      <c r="B2726">
        <v>0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</row>
    <row r="2727" spans="1:33">
      <c r="A2727" t="s">
        <v>3421</v>
      </c>
      <c r="B2727">
        <v>0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</row>
    <row r="2728" spans="1:33">
      <c r="A2728" t="s">
        <v>3422</v>
      </c>
      <c r="B2728">
        <v>0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</row>
    <row r="2729" spans="1:33">
      <c r="A2729" t="s">
        <v>3423</v>
      </c>
      <c r="B2729">
        <v>0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</row>
    <row r="2730" spans="1:33">
      <c r="A2730" t="s">
        <v>3424</v>
      </c>
      <c r="B2730">
        <v>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17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</row>
    <row r="2731" spans="1:33">
      <c r="A2731" t="s">
        <v>3425</v>
      </c>
      <c r="B2731">
        <v>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</row>
    <row r="2732" spans="1:33">
      <c r="A2732" t="s">
        <v>3426</v>
      </c>
      <c r="B2732">
        <v>0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</row>
    <row r="2733" spans="1:33">
      <c r="A2733" t="s">
        <v>3427</v>
      </c>
      <c r="B2733">
        <v>0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</row>
    <row r="2734" spans="1:33">
      <c r="A2734" t="s">
        <v>3428</v>
      </c>
      <c r="B2734">
        <v>0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17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</row>
    <row r="2735" spans="1:33">
      <c r="A2735" t="s">
        <v>3429</v>
      </c>
      <c r="B2735">
        <v>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</row>
    <row r="2736" spans="1:33">
      <c r="A2736" t="s">
        <v>3430</v>
      </c>
      <c r="B2736">
        <v>0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</row>
    <row r="2737" spans="1:33">
      <c r="A2737" t="s">
        <v>3431</v>
      </c>
      <c r="B2737">
        <v>0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</row>
    <row r="2738" spans="1:33">
      <c r="A2738" t="s">
        <v>3432</v>
      </c>
      <c r="B2738">
        <v>0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1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</row>
    <row r="2739" spans="1:33">
      <c r="A2739" t="s">
        <v>3433</v>
      </c>
      <c r="B2739">
        <v>0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</row>
    <row r="2740" spans="1:33">
      <c r="A2740" t="s">
        <v>3434</v>
      </c>
      <c r="B2740">
        <v>0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</row>
    <row r="2741" spans="1:33">
      <c r="A2741" t="s">
        <v>3435</v>
      </c>
      <c r="B2741">
        <v>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</row>
    <row r="2742" spans="1:33">
      <c r="A2742" t="s">
        <v>3436</v>
      </c>
      <c r="B2742">
        <v>0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</row>
    <row r="2743" spans="1:33">
      <c r="A2743" t="s">
        <v>3437</v>
      </c>
      <c r="B2743">
        <v>0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</row>
    <row r="2744" spans="1:33">
      <c r="A2744" t="s">
        <v>3438</v>
      </c>
      <c r="B2744">
        <v>0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</row>
    <row r="2745" spans="1:33">
      <c r="A2745" t="s">
        <v>3439</v>
      </c>
      <c r="B2745">
        <v>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</row>
    <row r="2746" spans="1:33">
      <c r="A2746" t="s">
        <v>3440</v>
      </c>
      <c r="B2746">
        <v>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</row>
    <row r="2747" spans="1:33">
      <c r="A2747" t="s">
        <v>3441</v>
      </c>
      <c r="B2747">
        <v>0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1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</row>
    <row r="2748" spans="1:33">
      <c r="A2748" t="s">
        <v>3442</v>
      </c>
      <c r="B2748">
        <v>0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1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</row>
    <row r="2749" spans="1:33">
      <c r="A2749" t="s">
        <v>3443</v>
      </c>
      <c r="B2749">
        <v>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1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</row>
    <row r="2750" spans="1:33">
      <c r="A2750" t="s">
        <v>3444</v>
      </c>
      <c r="B2750">
        <v>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</row>
    <row r="2751" spans="1:33">
      <c r="A2751" t="s">
        <v>3445</v>
      </c>
      <c r="B2751">
        <v>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1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</row>
    <row r="2752" spans="1:33">
      <c r="A2752" t="s">
        <v>3446</v>
      </c>
      <c r="B2752">
        <v>0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1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</row>
    <row r="2753" spans="1:33">
      <c r="A2753" t="s">
        <v>3447</v>
      </c>
      <c r="B2753">
        <v>0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</row>
    <row r="2754" spans="1:33">
      <c r="A2754" t="s">
        <v>3448</v>
      </c>
      <c r="B2754">
        <v>0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1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</row>
    <row r="2755" spans="1:33">
      <c r="A2755" t="s">
        <v>3449</v>
      </c>
      <c r="B2755">
        <v>0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</row>
    <row r="2756" spans="1:33">
      <c r="A2756" t="s">
        <v>3450</v>
      </c>
      <c r="B2756">
        <v>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2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</row>
    <row r="2757" spans="1:33">
      <c r="A2757" t="s">
        <v>3451</v>
      </c>
      <c r="B2757">
        <v>0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</row>
    <row r="2758" spans="1:33">
      <c r="A2758" t="s">
        <v>3452</v>
      </c>
      <c r="B2758">
        <v>0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135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</row>
    <row r="2759" spans="1:33">
      <c r="A2759" t="s">
        <v>3453</v>
      </c>
      <c r="B2759">
        <v>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</row>
    <row r="2760" spans="1:33">
      <c r="A2760" t="s">
        <v>3454</v>
      </c>
      <c r="B2760">
        <v>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135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</row>
    <row r="2761" spans="1:33">
      <c r="A2761" t="s">
        <v>3455</v>
      </c>
      <c r="B2761">
        <v>0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</row>
    <row r="2762" spans="1:33">
      <c r="A2762" t="s">
        <v>3456</v>
      </c>
      <c r="B2762">
        <v>0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135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</row>
    <row r="2763" spans="1:33">
      <c r="A2763" t="s">
        <v>3457</v>
      </c>
      <c r="B2763">
        <v>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</row>
    <row r="2764" spans="1:33">
      <c r="A2764" t="s">
        <v>3458</v>
      </c>
      <c r="B2764">
        <v>0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135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</row>
    <row r="2765" spans="1:33">
      <c r="A2765" t="s">
        <v>3459</v>
      </c>
      <c r="B2765">
        <v>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</row>
    <row r="2767" spans="1:33">
      <c r="B2767" t="s">
        <v>3460</v>
      </c>
      <c r="C2767">
        <v>36</v>
      </c>
      <c r="D2767">
        <v>8</v>
      </c>
      <c r="E2767">
        <v>1</v>
      </c>
    </row>
    <row r="2768" spans="1:33">
      <c r="B2768" t="s">
        <v>3461</v>
      </c>
      <c r="C2768" t="s">
        <v>3462</v>
      </c>
      <c r="D2768" t="s">
        <v>3463</v>
      </c>
      <c r="E2768" t="s">
        <v>3464</v>
      </c>
      <c r="F2768" t="s">
        <v>3465</v>
      </c>
      <c r="G2768" t="s">
        <v>3466</v>
      </c>
      <c r="H2768" t="s">
        <v>3467</v>
      </c>
      <c r="I2768" t="s">
        <v>3468</v>
      </c>
    </row>
    <row r="2769" spans="1:9">
      <c r="A2769" t="s">
        <v>2931</v>
      </c>
      <c r="B2769">
        <v>0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>
      <c r="A2770" t="s">
        <v>2932</v>
      </c>
      <c r="B2770">
        <v>0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>
      <c r="A2771" t="s">
        <v>2933</v>
      </c>
      <c r="B2771">
        <v>0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>
      <c r="A2772" t="s">
        <v>2934</v>
      </c>
      <c r="B2772">
        <v>0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0</v>
      </c>
    </row>
    <row r="2773" spans="1:9">
      <c r="A2773" t="s">
        <v>2935</v>
      </c>
      <c r="B2773">
        <v>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>
      <c r="A2774" t="s">
        <v>2936</v>
      </c>
      <c r="B2774">
        <v>0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v>0</v>
      </c>
    </row>
    <row r="2775" spans="1:9">
      <c r="A2775" t="s">
        <v>2937</v>
      </c>
      <c r="B2775">
        <v>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>
      <c r="A2776" t="s">
        <v>2938</v>
      </c>
      <c r="B2776">
        <v>0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>
      <c r="A2777" t="s">
        <v>2939</v>
      </c>
      <c r="B2777">
        <v>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>
      <c r="A2778" t="s">
        <v>2940</v>
      </c>
      <c r="B2778">
        <v>0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>
      <c r="A2779" t="s">
        <v>2941</v>
      </c>
      <c r="B2779">
        <v>0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</row>
    <row r="2780" spans="1:9">
      <c r="A2780" t="s">
        <v>2942</v>
      </c>
      <c r="B2780">
        <v>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</row>
    <row r="2781" spans="1:9">
      <c r="A2781" t="s">
        <v>2943</v>
      </c>
      <c r="B2781">
        <v>0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0</v>
      </c>
    </row>
    <row r="2782" spans="1:9">
      <c r="A2782" t="s">
        <v>2944</v>
      </c>
      <c r="B2782">
        <v>0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</row>
    <row r="2783" spans="1:9">
      <c r="A2783" t="s">
        <v>2945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</row>
    <row r="2784" spans="1:9">
      <c r="A2784" t="s">
        <v>2946</v>
      </c>
      <c r="B2784">
        <v>0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>
      <c r="A2785" t="s">
        <v>2947</v>
      </c>
      <c r="B2785">
        <v>0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>
      <c r="A2786" t="s">
        <v>2948</v>
      </c>
      <c r="B2786">
        <v>0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>
      <c r="A2787" t="s">
        <v>2949</v>
      </c>
      <c r="B2787">
        <v>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>
      <c r="A2788" t="s">
        <v>2950</v>
      </c>
      <c r="B2788">
        <v>0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>
      <c r="A2789" t="s">
        <v>2951</v>
      </c>
      <c r="B2789">
        <v>0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>
      <c r="A2790" t="s">
        <v>2952</v>
      </c>
      <c r="B2790">
        <v>0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>
      <c r="A2791" t="s">
        <v>2953</v>
      </c>
      <c r="B2791">
        <v>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>
      <c r="A2792" t="s">
        <v>2954</v>
      </c>
      <c r="B2792">
        <v>0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>
      <c r="A2793" t="s">
        <v>2955</v>
      </c>
      <c r="B2793">
        <v>0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v>0</v>
      </c>
    </row>
    <row r="2794" spans="1:9">
      <c r="A2794" t="s">
        <v>2956</v>
      </c>
      <c r="B2794">
        <v>0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0</v>
      </c>
    </row>
    <row r="2795" spans="1:9">
      <c r="A2795" t="s">
        <v>2957</v>
      </c>
      <c r="B2795">
        <v>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>
      <c r="A2796" t="s">
        <v>2958</v>
      </c>
      <c r="B2796">
        <v>0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>
      <c r="A2797" t="s">
        <v>2959</v>
      </c>
      <c r="B2797">
        <v>0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v>0</v>
      </c>
    </row>
    <row r="2798" spans="1:9">
      <c r="A2798" t="s">
        <v>2960</v>
      </c>
      <c r="B2798">
        <v>0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>
      <c r="A2799" t="s">
        <v>2961</v>
      </c>
      <c r="B2799">
        <v>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v>0</v>
      </c>
    </row>
    <row r="2800" spans="1:9">
      <c r="A2800" t="s">
        <v>2962</v>
      </c>
      <c r="B2800">
        <v>0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>
      <c r="A2801" t="s">
        <v>3469</v>
      </c>
      <c r="B2801">
        <v>2</v>
      </c>
      <c r="C2801">
        <v>6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v>0</v>
      </c>
    </row>
    <row r="2802" spans="1:9">
      <c r="A2802" t="s">
        <v>3470</v>
      </c>
      <c r="B2802">
        <v>0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v>0</v>
      </c>
    </row>
    <row r="2803" spans="1:9">
      <c r="A2803" t="s">
        <v>3471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0</v>
      </c>
    </row>
    <row r="2804" spans="1:9">
      <c r="A2804" t="s">
        <v>3472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0</v>
      </c>
    </row>
    <row r="2806" spans="1:9">
      <c r="B2806" t="s">
        <v>3473</v>
      </c>
      <c r="C2806">
        <v>16</v>
      </c>
      <c r="D2806">
        <v>1</v>
      </c>
      <c r="E2806">
        <v>1</v>
      </c>
    </row>
    <row r="2807" spans="1:9">
      <c r="B2807" t="s">
        <v>1508</v>
      </c>
    </row>
    <row r="2808" spans="1:9">
      <c r="A2808" t="s">
        <v>3474</v>
      </c>
      <c r="B2808" t="str">
        <f>"OFF"</f>
        <v>OFF</v>
      </c>
    </row>
    <row r="2809" spans="1:9">
      <c r="A2809" t="s">
        <v>179</v>
      </c>
      <c r="B2809" t="str">
        <f>"OFF"</f>
        <v>OFF</v>
      </c>
    </row>
    <row r="2810" spans="1:9">
      <c r="A2810" t="s">
        <v>128</v>
      </c>
      <c r="B2810" t="str">
        <f>"OFF"</f>
        <v>OFF</v>
      </c>
    </row>
    <row r="2811" spans="1:9">
      <c r="A2811" t="s">
        <v>3475</v>
      </c>
      <c r="B2811" t="str">
        <f>"OFF"</f>
        <v>OFF</v>
      </c>
    </row>
    <row r="2812" spans="1:9">
      <c r="A2812" t="s">
        <v>129</v>
      </c>
      <c r="B2812" t="str">
        <f>"4Ph"</f>
        <v>4Ph</v>
      </c>
    </row>
    <row r="2813" spans="1:9">
      <c r="A2813" t="s">
        <v>3476</v>
      </c>
      <c r="B2813" t="str">
        <f>"ON"</f>
        <v>ON</v>
      </c>
    </row>
    <row r="2814" spans="1:9">
      <c r="A2814" t="s">
        <v>3477</v>
      </c>
      <c r="B2814">
        <v>1</v>
      </c>
    </row>
    <row r="2815" spans="1:9">
      <c r="A2815" t="s">
        <v>3478</v>
      </c>
      <c r="B2815" t="str">
        <f>"RSt"</f>
        <v>RSt</v>
      </c>
    </row>
    <row r="2816" spans="1:9">
      <c r="A2816" t="s">
        <v>171</v>
      </c>
      <c r="B2816">
        <v>0</v>
      </c>
    </row>
    <row r="2817" spans="1:50">
      <c r="A2817" t="s">
        <v>3479</v>
      </c>
      <c r="B2817" t="str">
        <f>"OFF"</f>
        <v>OFF</v>
      </c>
    </row>
    <row r="2818" spans="1:50">
      <c r="A2818" t="s">
        <v>133</v>
      </c>
      <c r="B2818" t="str">
        <f>"STD8"</f>
        <v>STD8</v>
      </c>
    </row>
    <row r="2819" spans="1:50">
      <c r="A2819" t="s">
        <v>120</v>
      </c>
      <c r="B2819">
        <v>2</v>
      </c>
    </row>
    <row r="2820" spans="1:50">
      <c r="A2820" t="s">
        <v>3480</v>
      </c>
      <c r="B2820">
        <v>2</v>
      </c>
    </row>
    <row r="2821" spans="1:50">
      <c r="A2821" t="s">
        <v>3481</v>
      </c>
      <c r="B2821" t="str">
        <f>"UseProg"</f>
        <v>UseProg</v>
      </c>
    </row>
    <row r="2822" spans="1:50">
      <c r="A2822" t="s">
        <v>3482</v>
      </c>
      <c r="B2822">
        <v>0</v>
      </c>
    </row>
    <row r="2823" spans="1:50">
      <c r="A2823" t="s">
        <v>3483</v>
      </c>
      <c r="B2823" t="str">
        <f>"OFF"</f>
        <v>OFF</v>
      </c>
    </row>
    <row r="2825" spans="1:50">
      <c r="B2825" t="s">
        <v>3484</v>
      </c>
      <c r="C2825">
        <v>1</v>
      </c>
      <c r="D2825">
        <v>49</v>
      </c>
      <c r="E2825">
        <v>1</v>
      </c>
    </row>
    <row r="2826" spans="1:50">
      <c r="B2826" t="s">
        <v>1186</v>
      </c>
      <c r="C2826" t="s">
        <v>1187</v>
      </c>
      <c r="D2826" t="s">
        <v>1188</v>
      </c>
      <c r="E2826" t="s">
        <v>1189</v>
      </c>
      <c r="F2826" t="s">
        <v>1190</v>
      </c>
      <c r="G2826" t="s">
        <v>1191</v>
      </c>
      <c r="H2826" t="s">
        <v>1192</v>
      </c>
      <c r="I2826" t="s">
        <v>1193</v>
      </c>
      <c r="J2826" t="s">
        <v>3485</v>
      </c>
      <c r="K2826" t="s">
        <v>3486</v>
      </c>
      <c r="L2826" t="s">
        <v>3487</v>
      </c>
      <c r="M2826" t="s">
        <v>3488</v>
      </c>
      <c r="N2826" t="s">
        <v>3489</v>
      </c>
      <c r="O2826" t="s">
        <v>3490</v>
      </c>
      <c r="P2826" t="s">
        <v>3491</v>
      </c>
      <c r="Q2826" t="s">
        <v>3492</v>
      </c>
      <c r="R2826" t="s">
        <v>3493</v>
      </c>
      <c r="S2826" t="s">
        <v>3494</v>
      </c>
      <c r="T2826" t="s">
        <v>3495</v>
      </c>
      <c r="U2826" t="s">
        <v>3496</v>
      </c>
      <c r="V2826" t="s">
        <v>3497</v>
      </c>
      <c r="W2826" t="s">
        <v>3498</v>
      </c>
      <c r="X2826" t="s">
        <v>3499</v>
      </c>
      <c r="Y2826" t="s">
        <v>3500</v>
      </c>
      <c r="Z2826" t="s">
        <v>3501</v>
      </c>
      <c r="AA2826" t="s">
        <v>3502</v>
      </c>
      <c r="AB2826" t="s">
        <v>3503</v>
      </c>
      <c r="AC2826" t="s">
        <v>3504</v>
      </c>
      <c r="AD2826" t="s">
        <v>3505</v>
      </c>
      <c r="AE2826" t="s">
        <v>3506</v>
      </c>
      <c r="AF2826" t="s">
        <v>3507</v>
      </c>
      <c r="AG2826" t="s">
        <v>3508</v>
      </c>
      <c r="AH2826" t="s">
        <v>3509</v>
      </c>
      <c r="AI2826" t="s">
        <v>3510</v>
      </c>
      <c r="AJ2826" t="s">
        <v>3511</v>
      </c>
      <c r="AK2826" t="s">
        <v>3512</v>
      </c>
      <c r="AL2826" t="s">
        <v>3513</v>
      </c>
      <c r="AM2826" t="s">
        <v>3514</v>
      </c>
      <c r="AN2826" t="s">
        <v>3515</v>
      </c>
      <c r="AO2826" t="s">
        <v>3516</v>
      </c>
      <c r="AP2826" t="s">
        <v>3517</v>
      </c>
      <c r="AQ2826" t="s">
        <v>3518</v>
      </c>
      <c r="AR2826" t="s">
        <v>3519</v>
      </c>
      <c r="AS2826" t="s">
        <v>3520</v>
      </c>
      <c r="AT2826" t="s">
        <v>3521</v>
      </c>
      <c r="AU2826" t="s">
        <v>3522</v>
      </c>
      <c r="AV2826" t="s">
        <v>3523</v>
      </c>
      <c r="AW2826" t="s">
        <v>3524</v>
      </c>
      <c r="AX2826" t="s">
        <v>3525</v>
      </c>
    </row>
    <row r="2827" spans="1:50">
      <c r="A2827" t="s">
        <v>3526</v>
      </c>
      <c r="B2827">
        <v>0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</row>
    <row r="2829" spans="1:50">
      <c r="B2829" t="s">
        <v>3527</v>
      </c>
      <c r="C2829">
        <v>1</v>
      </c>
      <c r="D2829">
        <v>11</v>
      </c>
      <c r="E2829">
        <v>1</v>
      </c>
    </row>
    <row r="2830" spans="1:50">
      <c r="B2830" t="s">
        <v>1186</v>
      </c>
      <c r="C2830" t="s">
        <v>1187</v>
      </c>
      <c r="D2830" t="s">
        <v>1188</v>
      </c>
      <c r="E2830" t="s">
        <v>1189</v>
      </c>
      <c r="F2830" t="s">
        <v>1190</v>
      </c>
      <c r="G2830" t="s">
        <v>1191</v>
      </c>
      <c r="H2830" t="s">
        <v>1192</v>
      </c>
      <c r="I2830" t="s">
        <v>1193</v>
      </c>
      <c r="J2830" t="s">
        <v>3485</v>
      </c>
      <c r="K2830" t="s">
        <v>3486</v>
      </c>
      <c r="L2830" t="s">
        <v>3487</v>
      </c>
    </row>
    <row r="2831" spans="1:50">
      <c r="A2831" t="s">
        <v>3526</v>
      </c>
      <c r="B2831">
        <v>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</row>
    <row r="2833" spans="1:129">
      <c r="B2833" t="s">
        <v>3528</v>
      </c>
      <c r="C2833">
        <v>17</v>
      </c>
      <c r="D2833">
        <v>128</v>
      </c>
      <c r="E2833">
        <v>1</v>
      </c>
    </row>
    <row r="2834" spans="1:129">
      <c r="B2834" t="s">
        <v>63</v>
      </c>
      <c r="C2834" t="s">
        <v>64</v>
      </c>
      <c r="D2834" t="s">
        <v>65</v>
      </c>
      <c r="E2834" t="s">
        <v>66</v>
      </c>
      <c r="F2834" t="s">
        <v>67</v>
      </c>
      <c r="G2834" t="s">
        <v>68</v>
      </c>
      <c r="H2834" t="s">
        <v>69</v>
      </c>
      <c r="I2834" t="s">
        <v>70</v>
      </c>
      <c r="J2834" t="s">
        <v>71</v>
      </c>
      <c r="K2834" t="s">
        <v>72</v>
      </c>
      <c r="L2834" t="s">
        <v>73</v>
      </c>
      <c r="M2834" t="s">
        <v>74</v>
      </c>
      <c r="N2834" t="s">
        <v>75</v>
      </c>
      <c r="O2834" t="s">
        <v>76</v>
      </c>
      <c r="P2834" t="s">
        <v>77</v>
      </c>
      <c r="Q2834" t="s">
        <v>78</v>
      </c>
      <c r="R2834" t="s">
        <v>79</v>
      </c>
      <c r="S2834" t="s">
        <v>80</v>
      </c>
      <c r="T2834" t="s">
        <v>81</v>
      </c>
      <c r="U2834" t="s">
        <v>82</v>
      </c>
      <c r="V2834" t="s">
        <v>83</v>
      </c>
      <c r="W2834" t="s">
        <v>84</v>
      </c>
      <c r="X2834" t="s">
        <v>85</v>
      </c>
      <c r="Y2834" t="s">
        <v>86</v>
      </c>
      <c r="Z2834" t="s">
        <v>87</v>
      </c>
      <c r="AA2834" t="s">
        <v>88</v>
      </c>
      <c r="AB2834" t="s">
        <v>89</v>
      </c>
      <c r="AC2834" t="s">
        <v>90</v>
      </c>
      <c r="AD2834" t="s">
        <v>91</v>
      </c>
      <c r="AE2834" t="s">
        <v>92</v>
      </c>
      <c r="AF2834" t="s">
        <v>93</v>
      </c>
      <c r="AG2834" t="s">
        <v>94</v>
      </c>
      <c r="AH2834" t="s">
        <v>95</v>
      </c>
      <c r="AI2834" t="s">
        <v>96</v>
      </c>
      <c r="AJ2834" t="s">
        <v>97</v>
      </c>
      <c r="AK2834" t="s">
        <v>98</v>
      </c>
      <c r="AL2834" t="s">
        <v>99</v>
      </c>
      <c r="AM2834" t="s">
        <v>100</v>
      </c>
      <c r="AN2834" t="s">
        <v>101</v>
      </c>
      <c r="AO2834" t="s">
        <v>102</v>
      </c>
      <c r="AP2834" t="s">
        <v>103</v>
      </c>
      <c r="AQ2834" t="s">
        <v>104</v>
      </c>
      <c r="AR2834" t="s">
        <v>105</v>
      </c>
      <c r="AS2834" t="s">
        <v>106</v>
      </c>
      <c r="AT2834" t="s">
        <v>1157</v>
      </c>
      <c r="AU2834" t="s">
        <v>1158</v>
      </c>
      <c r="AV2834" t="s">
        <v>1159</v>
      </c>
      <c r="AW2834" t="s">
        <v>1160</v>
      </c>
      <c r="AX2834" t="s">
        <v>1161</v>
      </c>
      <c r="AY2834" t="s">
        <v>1162</v>
      </c>
      <c r="AZ2834" t="s">
        <v>1163</v>
      </c>
      <c r="BA2834" t="s">
        <v>1164</v>
      </c>
      <c r="BB2834" t="s">
        <v>1165</v>
      </c>
      <c r="BC2834" t="s">
        <v>1166</v>
      </c>
      <c r="BD2834" t="s">
        <v>1167</v>
      </c>
      <c r="BE2834" t="s">
        <v>1168</v>
      </c>
      <c r="BF2834" t="s">
        <v>1169</v>
      </c>
      <c r="BG2834" t="s">
        <v>1170</v>
      </c>
      <c r="BH2834" t="s">
        <v>1171</v>
      </c>
      <c r="BI2834" t="s">
        <v>1172</v>
      </c>
      <c r="BJ2834" t="s">
        <v>1173</v>
      </c>
      <c r="BK2834" t="s">
        <v>1174</v>
      </c>
      <c r="BL2834" t="s">
        <v>1175</v>
      </c>
      <c r="BM2834" t="s">
        <v>1176</v>
      </c>
      <c r="BN2834" t="s">
        <v>3529</v>
      </c>
      <c r="BO2834" t="s">
        <v>3530</v>
      </c>
      <c r="BP2834" t="s">
        <v>3531</v>
      </c>
      <c r="BQ2834" t="s">
        <v>3532</v>
      </c>
      <c r="BR2834" t="s">
        <v>3533</v>
      </c>
      <c r="BS2834" t="s">
        <v>3534</v>
      </c>
      <c r="BT2834" t="s">
        <v>3535</v>
      </c>
      <c r="BU2834" t="s">
        <v>3536</v>
      </c>
      <c r="BV2834" t="s">
        <v>3537</v>
      </c>
      <c r="BW2834" t="s">
        <v>3538</v>
      </c>
      <c r="BX2834" t="s">
        <v>3539</v>
      </c>
      <c r="BY2834" t="s">
        <v>3540</v>
      </c>
      <c r="BZ2834" t="s">
        <v>3541</v>
      </c>
      <c r="CA2834" t="s">
        <v>3542</v>
      </c>
      <c r="CB2834" t="s">
        <v>3543</v>
      </c>
      <c r="CC2834" t="s">
        <v>3544</v>
      </c>
      <c r="CD2834" t="s">
        <v>3545</v>
      </c>
      <c r="CE2834" t="s">
        <v>3546</v>
      </c>
      <c r="CF2834" t="s">
        <v>3547</v>
      </c>
      <c r="CG2834" t="s">
        <v>3548</v>
      </c>
      <c r="CH2834" t="s">
        <v>3549</v>
      </c>
      <c r="CI2834" t="s">
        <v>3550</v>
      </c>
      <c r="CJ2834" t="s">
        <v>3551</v>
      </c>
      <c r="CK2834" t="s">
        <v>3552</v>
      </c>
      <c r="CL2834" t="s">
        <v>3553</v>
      </c>
      <c r="CM2834" t="s">
        <v>3554</v>
      </c>
      <c r="CN2834" t="s">
        <v>3555</v>
      </c>
      <c r="CO2834" t="s">
        <v>3556</v>
      </c>
      <c r="CP2834" t="s">
        <v>3557</v>
      </c>
      <c r="CQ2834" t="s">
        <v>3558</v>
      </c>
      <c r="CR2834" t="s">
        <v>3559</v>
      </c>
      <c r="CS2834" t="s">
        <v>3560</v>
      </c>
      <c r="CT2834" t="s">
        <v>3561</v>
      </c>
      <c r="CU2834" t="s">
        <v>3562</v>
      </c>
      <c r="CV2834" t="s">
        <v>3563</v>
      </c>
      <c r="CW2834" t="s">
        <v>3564</v>
      </c>
      <c r="CX2834" t="s">
        <v>3565</v>
      </c>
      <c r="CY2834" t="s">
        <v>3566</v>
      </c>
      <c r="CZ2834" t="s">
        <v>3567</v>
      </c>
      <c r="DA2834" t="s">
        <v>3568</v>
      </c>
      <c r="DB2834" t="s">
        <v>3569</v>
      </c>
      <c r="DC2834" t="s">
        <v>3570</v>
      </c>
      <c r="DD2834" t="s">
        <v>3571</v>
      </c>
      <c r="DE2834" t="s">
        <v>3572</v>
      </c>
      <c r="DF2834" t="s">
        <v>3573</v>
      </c>
      <c r="DG2834" t="s">
        <v>3574</v>
      </c>
      <c r="DH2834" t="s">
        <v>3575</v>
      </c>
      <c r="DI2834" t="s">
        <v>3576</v>
      </c>
      <c r="DJ2834" t="s">
        <v>3577</v>
      </c>
      <c r="DK2834" t="s">
        <v>3578</v>
      </c>
      <c r="DL2834" t="s">
        <v>3579</v>
      </c>
      <c r="DM2834" t="s">
        <v>3580</v>
      </c>
      <c r="DN2834" t="s">
        <v>3581</v>
      </c>
      <c r="DO2834" t="s">
        <v>3582</v>
      </c>
      <c r="DP2834" t="s">
        <v>3583</v>
      </c>
      <c r="DQ2834" t="s">
        <v>3584</v>
      </c>
      <c r="DR2834" t="s">
        <v>3585</v>
      </c>
      <c r="DS2834" t="s">
        <v>3586</v>
      </c>
      <c r="DT2834" t="s">
        <v>3587</v>
      </c>
      <c r="DU2834" t="s">
        <v>3588</v>
      </c>
      <c r="DV2834" t="s">
        <v>3589</v>
      </c>
      <c r="DW2834" t="s">
        <v>3590</v>
      </c>
      <c r="DX2834" t="s">
        <v>3591</v>
      </c>
      <c r="DY2834" t="s">
        <v>3592</v>
      </c>
    </row>
    <row r="2835" spans="1:129">
      <c r="A2835" t="s">
        <v>2483</v>
      </c>
      <c r="B2835" t="str">
        <f t="shared" ref="B2835:AG2835" si="420">"Off"</f>
        <v>Off</v>
      </c>
      <c r="C2835" t="str">
        <f t="shared" si="420"/>
        <v>Off</v>
      </c>
      <c r="D2835" t="str">
        <f t="shared" si="420"/>
        <v>Off</v>
      </c>
      <c r="E2835" t="str">
        <f t="shared" si="420"/>
        <v>Off</v>
      </c>
      <c r="F2835" t="str">
        <f t="shared" si="420"/>
        <v>Off</v>
      </c>
      <c r="G2835" t="str">
        <f t="shared" si="420"/>
        <v>Off</v>
      </c>
      <c r="H2835" t="str">
        <f t="shared" si="420"/>
        <v>Off</v>
      </c>
      <c r="I2835" t="str">
        <f t="shared" si="420"/>
        <v>Off</v>
      </c>
      <c r="J2835" t="str">
        <f t="shared" si="420"/>
        <v>Off</v>
      </c>
      <c r="K2835" t="str">
        <f t="shared" si="420"/>
        <v>Off</v>
      </c>
      <c r="L2835" t="str">
        <f t="shared" si="420"/>
        <v>Off</v>
      </c>
      <c r="M2835" t="str">
        <f t="shared" si="420"/>
        <v>Off</v>
      </c>
      <c r="N2835" t="str">
        <f t="shared" si="420"/>
        <v>Off</v>
      </c>
      <c r="O2835" t="str">
        <f t="shared" si="420"/>
        <v>Off</v>
      </c>
      <c r="P2835" t="str">
        <f t="shared" si="420"/>
        <v>Off</v>
      </c>
      <c r="Q2835" t="str">
        <f t="shared" si="420"/>
        <v>Off</v>
      </c>
      <c r="R2835" t="str">
        <f t="shared" si="420"/>
        <v>Off</v>
      </c>
      <c r="S2835" t="str">
        <f t="shared" si="420"/>
        <v>Off</v>
      </c>
      <c r="T2835" t="str">
        <f t="shared" si="420"/>
        <v>Off</v>
      </c>
      <c r="U2835" t="str">
        <f t="shared" si="420"/>
        <v>Off</v>
      </c>
      <c r="V2835" t="str">
        <f t="shared" si="420"/>
        <v>Off</v>
      </c>
      <c r="W2835" t="str">
        <f t="shared" si="420"/>
        <v>Off</v>
      </c>
      <c r="X2835" t="str">
        <f t="shared" si="420"/>
        <v>Off</v>
      </c>
      <c r="Y2835" t="str">
        <f t="shared" si="420"/>
        <v>Off</v>
      </c>
      <c r="Z2835" t="str">
        <f t="shared" si="420"/>
        <v>Off</v>
      </c>
      <c r="AA2835" t="str">
        <f t="shared" si="420"/>
        <v>Off</v>
      </c>
      <c r="AB2835" t="str">
        <f t="shared" si="420"/>
        <v>Off</v>
      </c>
      <c r="AC2835" t="str">
        <f t="shared" si="420"/>
        <v>Off</v>
      </c>
      <c r="AD2835" t="str">
        <f t="shared" si="420"/>
        <v>Off</v>
      </c>
      <c r="AE2835" t="str">
        <f t="shared" si="420"/>
        <v>Off</v>
      </c>
      <c r="AF2835" t="str">
        <f t="shared" si="420"/>
        <v>Off</v>
      </c>
      <c r="AG2835" t="str">
        <f t="shared" si="420"/>
        <v>Off</v>
      </c>
      <c r="AH2835" t="str">
        <f t="shared" ref="AH2835:BM2835" si="421">"Off"</f>
        <v>Off</v>
      </c>
      <c r="AI2835" t="str">
        <f t="shared" si="421"/>
        <v>Off</v>
      </c>
      <c r="AJ2835" t="str">
        <f t="shared" si="421"/>
        <v>Off</v>
      </c>
      <c r="AK2835" t="str">
        <f t="shared" si="421"/>
        <v>Off</v>
      </c>
      <c r="AL2835" t="str">
        <f t="shared" si="421"/>
        <v>Off</v>
      </c>
      <c r="AM2835" t="str">
        <f t="shared" si="421"/>
        <v>Off</v>
      </c>
      <c r="AN2835" t="str">
        <f t="shared" si="421"/>
        <v>Off</v>
      </c>
      <c r="AO2835" t="str">
        <f t="shared" si="421"/>
        <v>Off</v>
      </c>
      <c r="AP2835" t="str">
        <f t="shared" si="421"/>
        <v>Off</v>
      </c>
      <c r="AQ2835" t="str">
        <f t="shared" si="421"/>
        <v>Off</v>
      </c>
      <c r="AR2835" t="str">
        <f t="shared" si="421"/>
        <v>Off</v>
      </c>
      <c r="AS2835" t="str">
        <f t="shared" si="421"/>
        <v>Off</v>
      </c>
      <c r="AT2835" t="str">
        <f t="shared" si="421"/>
        <v>Off</v>
      </c>
      <c r="AU2835" t="str">
        <f t="shared" si="421"/>
        <v>Off</v>
      </c>
      <c r="AV2835" t="str">
        <f t="shared" si="421"/>
        <v>Off</v>
      </c>
      <c r="AW2835" t="str">
        <f t="shared" si="421"/>
        <v>Off</v>
      </c>
      <c r="AX2835" t="str">
        <f t="shared" si="421"/>
        <v>Off</v>
      </c>
      <c r="AY2835" t="str">
        <f t="shared" si="421"/>
        <v>Off</v>
      </c>
      <c r="AZ2835" t="str">
        <f t="shared" si="421"/>
        <v>Off</v>
      </c>
      <c r="BA2835" t="str">
        <f t="shared" si="421"/>
        <v>Off</v>
      </c>
      <c r="BB2835" t="str">
        <f t="shared" si="421"/>
        <v>Off</v>
      </c>
      <c r="BC2835" t="str">
        <f t="shared" si="421"/>
        <v>Off</v>
      </c>
      <c r="BD2835" t="str">
        <f t="shared" si="421"/>
        <v>Off</v>
      </c>
      <c r="BE2835" t="str">
        <f t="shared" si="421"/>
        <v>Off</v>
      </c>
      <c r="BF2835" t="str">
        <f t="shared" si="421"/>
        <v>Off</v>
      </c>
      <c r="BG2835" t="str">
        <f t="shared" si="421"/>
        <v>Off</v>
      </c>
      <c r="BH2835" t="str">
        <f t="shared" si="421"/>
        <v>Off</v>
      </c>
      <c r="BI2835" t="str">
        <f t="shared" si="421"/>
        <v>Off</v>
      </c>
      <c r="BJ2835" t="str">
        <f t="shared" si="421"/>
        <v>Off</v>
      </c>
      <c r="BK2835" t="str">
        <f t="shared" si="421"/>
        <v>Off</v>
      </c>
      <c r="BL2835" t="str">
        <f t="shared" si="421"/>
        <v>Off</v>
      </c>
      <c r="BM2835" t="str">
        <f t="shared" si="421"/>
        <v>Off</v>
      </c>
      <c r="BN2835" t="str">
        <f t="shared" ref="BN2835:CS2835" si="422">"Off"</f>
        <v>Off</v>
      </c>
      <c r="BO2835" t="str">
        <f t="shared" si="422"/>
        <v>Off</v>
      </c>
      <c r="BP2835" t="str">
        <f t="shared" si="422"/>
        <v>Off</v>
      </c>
      <c r="BQ2835" t="str">
        <f t="shared" si="422"/>
        <v>Off</v>
      </c>
      <c r="BR2835" t="str">
        <f t="shared" si="422"/>
        <v>Off</v>
      </c>
      <c r="BS2835" t="str">
        <f t="shared" si="422"/>
        <v>Off</v>
      </c>
      <c r="BT2835" t="str">
        <f t="shared" si="422"/>
        <v>Off</v>
      </c>
      <c r="BU2835" t="str">
        <f t="shared" si="422"/>
        <v>Off</v>
      </c>
      <c r="BV2835" t="str">
        <f t="shared" si="422"/>
        <v>Off</v>
      </c>
      <c r="BW2835" t="str">
        <f t="shared" si="422"/>
        <v>Off</v>
      </c>
      <c r="BX2835" t="str">
        <f t="shared" si="422"/>
        <v>Off</v>
      </c>
      <c r="BY2835" t="str">
        <f t="shared" si="422"/>
        <v>Off</v>
      </c>
      <c r="BZ2835" t="str">
        <f t="shared" si="422"/>
        <v>Off</v>
      </c>
      <c r="CA2835" t="str">
        <f t="shared" si="422"/>
        <v>Off</v>
      </c>
      <c r="CB2835" t="str">
        <f t="shared" si="422"/>
        <v>Off</v>
      </c>
      <c r="CC2835" t="str">
        <f t="shared" si="422"/>
        <v>Off</v>
      </c>
      <c r="CD2835" t="str">
        <f t="shared" si="422"/>
        <v>Off</v>
      </c>
      <c r="CE2835" t="str">
        <f t="shared" si="422"/>
        <v>Off</v>
      </c>
      <c r="CF2835" t="str">
        <f t="shared" si="422"/>
        <v>Off</v>
      </c>
      <c r="CG2835" t="str">
        <f t="shared" si="422"/>
        <v>Off</v>
      </c>
      <c r="CH2835" t="str">
        <f t="shared" si="422"/>
        <v>Off</v>
      </c>
      <c r="CI2835" t="str">
        <f t="shared" si="422"/>
        <v>Off</v>
      </c>
      <c r="CJ2835" t="str">
        <f t="shared" si="422"/>
        <v>Off</v>
      </c>
      <c r="CK2835" t="str">
        <f t="shared" si="422"/>
        <v>Off</v>
      </c>
      <c r="CL2835" t="str">
        <f t="shared" si="422"/>
        <v>Off</v>
      </c>
      <c r="CM2835" t="str">
        <f t="shared" si="422"/>
        <v>Off</v>
      </c>
      <c r="CN2835" t="str">
        <f t="shared" si="422"/>
        <v>Off</v>
      </c>
      <c r="CO2835" t="str">
        <f t="shared" si="422"/>
        <v>Off</v>
      </c>
      <c r="CP2835" t="str">
        <f t="shared" si="422"/>
        <v>Off</v>
      </c>
      <c r="CQ2835" t="str">
        <f t="shared" si="422"/>
        <v>Off</v>
      </c>
      <c r="CR2835" t="str">
        <f t="shared" si="422"/>
        <v>Off</v>
      </c>
      <c r="CS2835" t="str">
        <f t="shared" si="422"/>
        <v>Off</v>
      </c>
      <c r="CT2835" t="str">
        <f t="shared" ref="CT2835:DY2835" si="423">"Off"</f>
        <v>Off</v>
      </c>
      <c r="CU2835" t="str">
        <f t="shared" si="423"/>
        <v>Off</v>
      </c>
      <c r="CV2835" t="str">
        <f t="shared" si="423"/>
        <v>Off</v>
      </c>
      <c r="CW2835" t="str">
        <f t="shared" si="423"/>
        <v>Off</v>
      </c>
      <c r="CX2835" t="str">
        <f t="shared" si="423"/>
        <v>Off</v>
      </c>
      <c r="CY2835" t="str">
        <f t="shared" si="423"/>
        <v>Off</v>
      </c>
      <c r="CZ2835" t="str">
        <f t="shared" si="423"/>
        <v>Off</v>
      </c>
      <c r="DA2835" t="str">
        <f t="shared" si="423"/>
        <v>Off</v>
      </c>
      <c r="DB2835" t="str">
        <f t="shared" si="423"/>
        <v>Off</v>
      </c>
      <c r="DC2835" t="str">
        <f t="shared" si="423"/>
        <v>Off</v>
      </c>
      <c r="DD2835" t="str">
        <f t="shared" si="423"/>
        <v>Off</v>
      </c>
      <c r="DE2835" t="str">
        <f t="shared" si="423"/>
        <v>Off</v>
      </c>
      <c r="DF2835" t="str">
        <f t="shared" si="423"/>
        <v>Off</v>
      </c>
      <c r="DG2835" t="str">
        <f t="shared" si="423"/>
        <v>Off</v>
      </c>
      <c r="DH2835" t="str">
        <f t="shared" si="423"/>
        <v>Off</v>
      </c>
      <c r="DI2835" t="str">
        <f t="shared" si="423"/>
        <v>Off</v>
      </c>
      <c r="DJ2835" t="str">
        <f t="shared" si="423"/>
        <v>Off</v>
      </c>
      <c r="DK2835" t="str">
        <f t="shared" si="423"/>
        <v>Off</v>
      </c>
      <c r="DL2835" t="str">
        <f t="shared" si="423"/>
        <v>Off</v>
      </c>
      <c r="DM2835" t="str">
        <f t="shared" si="423"/>
        <v>Off</v>
      </c>
      <c r="DN2835" t="str">
        <f t="shared" si="423"/>
        <v>Off</v>
      </c>
      <c r="DO2835" t="str">
        <f t="shared" si="423"/>
        <v>Off</v>
      </c>
      <c r="DP2835" t="str">
        <f t="shared" si="423"/>
        <v>Off</v>
      </c>
      <c r="DQ2835" t="str">
        <f t="shared" si="423"/>
        <v>Off</v>
      </c>
      <c r="DR2835" t="str">
        <f t="shared" si="423"/>
        <v>Off</v>
      </c>
      <c r="DS2835" t="str">
        <f t="shared" si="423"/>
        <v>Off</v>
      </c>
      <c r="DT2835" t="str">
        <f t="shared" si="423"/>
        <v>Off</v>
      </c>
      <c r="DU2835" t="str">
        <f t="shared" si="423"/>
        <v>Off</v>
      </c>
      <c r="DV2835" t="str">
        <f t="shared" si="423"/>
        <v>Off</v>
      </c>
      <c r="DW2835" t="str">
        <f t="shared" si="423"/>
        <v>Off</v>
      </c>
      <c r="DX2835" t="str">
        <f t="shared" si="423"/>
        <v>Off</v>
      </c>
      <c r="DY2835" t="str">
        <f t="shared" si="423"/>
        <v>Off</v>
      </c>
    </row>
    <row r="2836" spans="1:129">
      <c r="A2836" t="s">
        <v>108</v>
      </c>
      <c r="B2836" t="str">
        <f>"On"</f>
        <v>On</v>
      </c>
      <c r="C2836" t="str">
        <f>"Off"</f>
        <v>Off</v>
      </c>
      <c r="D2836" t="str">
        <f>"On"</f>
        <v>On</v>
      </c>
      <c r="E2836" t="str">
        <f>"On"</f>
        <v>On</v>
      </c>
      <c r="F2836" t="str">
        <f>"On"</f>
        <v>On</v>
      </c>
      <c r="G2836" t="str">
        <f>"On"</f>
        <v>On</v>
      </c>
      <c r="H2836" t="str">
        <f>"On"</f>
        <v>On</v>
      </c>
      <c r="I2836" t="str">
        <f>"Off"</f>
        <v>Off</v>
      </c>
      <c r="J2836" t="str">
        <f t="shared" ref="J2836:P2836" si="424">"On"</f>
        <v>On</v>
      </c>
      <c r="K2836" t="str">
        <f t="shared" si="424"/>
        <v>On</v>
      </c>
      <c r="L2836" t="str">
        <f t="shared" si="424"/>
        <v>On</v>
      </c>
      <c r="M2836" t="str">
        <f t="shared" si="424"/>
        <v>On</v>
      </c>
      <c r="N2836" t="str">
        <f t="shared" si="424"/>
        <v>On</v>
      </c>
      <c r="O2836" t="str">
        <f t="shared" si="424"/>
        <v>On</v>
      </c>
      <c r="P2836" t="str">
        <f t="shared" si="424"/>
        <v>On</v>
      </c>
      <c r="Q2836" t="str">
        <f>"Off"</f>
        <v>Off</v>
      </c>
      <c r="R2836" t="str">
        <f>"On"</f>
        <v>On</v>
      </c>
      <c r="S2836" t="str">
        <f>"On"</f>
        <v>On</v>
      </c>
      <c r="T2836" t="str">
        <f>"On"</f>
        <v>On</v>
      </c>
      <c r="U2836" t="str">
        <f>"On"</f>
        <v>On</v>
      </c>
      <c r="V2836" t="str">
        <f>"On"</f>
        <v>On</v>
      </c>
      <c r="W2836" t="str">
        <f>"Off"</f>
        <v>Off</v>
      </c>
      <c r="X2836" t="str">
        <f t="shared" ref="X2836:AO2836" si="425">"On"</f>
        <v>On</v>
      </c>
      <c r="Y2836" t="str">
        <f t="shared" si="425"/>
        <v>On</v>
      </c>
      <c r="Z2836" t="str">
        <f t="shared" si="425"/>
        <v>On</v>
      </c>
      <c r="AA2836" t="str">
        <f t="shared" si="425"/>
        <v>On</v>
      </c>
      <c r="AB2836" t="str">
        <f t="shared" si="425"/>
        <v>On</v>
      </c>
      <c r="AC2836" t="str">
        <f t="shared" si="425"/>
        <v>On</v>
      </c>
      <c r="AD2836" t="str">
        <f t="shared" si="425"/>
        <v>On</v>
      </c>
      <c r="AE2836" t="str">
        <f t="shared" si="425"/>
        <v>On</v>
      </c>
      <c r="AF2836" t="str">
        <f t="shared" si="425"/>
        <v>On</v>
      </c>
      <c r="AG2836" t="str">
        <f t="shared" si="425"/>
        <v>On</v>
      </c>
      <c r="AH2836" t="str">
        <f t="shared" si="425"/>
        <v>On</v>
      </c>
      <c r="AI2836" t="str">
        <f t="shared" si="425"/>
        <v>On</v>
      </c>
      <c r="AJ2836" t="str">
        <f t="shared" si="425"/>
        <v>On</v>
      </c>
      <c r="AK2836" t="str">
        <f t="shared" si="425"/>
        <v>On</v>
      </c>
      <c r="AL2836" t="str">
        <f t="shared" si="425"/>
        <v>On</v>
      </c>
      <c r="AM2836" t="str">
        <f t="shared" si="425"/>
        <v>On</v>
      </c>
      <c r="AN2836" t="str">
        <f t="shared" si="425"/>
        <v>On</v>
      </c>
      <c r="AO2836" t="str">
        <f t="shared" si="425"/>
        <v>On</v>
      </c>
      <c r="AP2836" t="str">
        <f t="shared" ref="AP2836:BU2836" si="426">"Off"</f>
        <v>Off</v>
      </c>
      <c r="AQ2836" t="str">
        <f t="shared" si="426"/>
        <v>Off</v>
      </c>
      <c r="AR2836" t="str">
        <f t="shared" si="426"/>
        <v>Off</v>
      </c>
      <c r="AS2836" t="str">
        <f t="shared" si="426"/>
        <v>Off</v>
      </c>
      <c r="AT2836" t="str">
        <f t="shared" si="426"/>
        <v>Off</v>
      </c>
      <c r="AU2836" t="str">
        <f t="shared" si="426"/>
        <v>Off</v>
      </c>
      <c r="AV2836" t="str">
        <f t="shared" si="426"/>
        <v>Off</v>
      </c>
      <c r="AW2836" t="str">
        <f t="shared" si="426"/>
        <v>Off</v>
      </c>
      <c r="AX2836" t="str">
        <f t="shared" si="426"/>
        <v>Off</v>
      </c>
      <c r="AY2836" t="str">
        <f t="shared" si="426"/>
        <v>Off</v>
      </c>
      <c r="AZ2836" t="str">
        <f t="shared" si="426"/>
        <v>Off</v>
      </c>
      <c r="BA2836" t="str">
        <f t="shared" si="426"/>
        <v>Off</v>
      </c>
      <c r="BB2836" t="str">
        <f t="shared" si="426"/>
        <v>Off</v>
      </c>
      <c r="BC2836" t="str">
        <f t="shared" si="426"/>
        <v>Off</v>
      </c>
      <c r="BD2836" t="str">
        <f t="shared" si="426"/>
        <v>Off</v>
      </c>
      <c r="BE2836" t="str">
        <f t="shared" si="426"/>
        <v>Off</v>
      </c>
      <c r="BF2836" t="str">
        <f t="shared" si="426"/>
        <v>Off</v>
      </c>
      <c r="BG2836" t="str">
        <f t="shared" si="426"/>
        <v>Off</v>
      </c>
      <c r="BH2836" t="str">
        <f t="shared" si="426"/>
        <v>Off</v>
      </c>
      <c r="BI2836" t="str">
        <f t="shared" si="426"/>
        <v>Off</v>
      </c>
      <c r="BJ2836" t="str">
        <f t="shared" si="426"/>
        <v>Off</v>
      </c>
      <c r="BK2836" t="str">
        <f t="shared" si="426"/>
        <v>Off</v>
      </c>
      <c r="BL2836" t="str">
        <f t="shared" si="426"/>
        <v>Off</v>
      </c>
      <c r="BM2836" t="str">
        <f t="shared" si="426"/>
        <v>Off</v>
      </c>
      <c r="BN2836" t="str">
        <f t="shared" si="426"/>
        <v>Off</v>
      </c>
      <c r="BO2836" t="str">
        <f t="shared" si="426"/>
        <v>Off</v>
      </c>
      <c r="BP2836" t="str">
        <f t="shared" si="426"/>
        <v>Off</v>
      </c>
      <c r="BQ2836" t="str">
        <f t="shared" si="426"/>
        <v>Off</v>
      </c>
      <c r="BR2836" t="str">
        <f t="shared" si="426"/>
        <v>Off</v>
      </c>
      <c r="BS2836" t="str">
        <f t="shared" si="426"/>
        <v>Off</v>
      </c>
      <c r="BT2836" t="str">
        <f t="shared" si="426"/>
        <v>Off</v>
      </c>
      <c r="BU2836" t="str">
        <f t="shared" si="426"/>
        <v>Off</v>
      </c>
      <c r="BV2836" t="str">
        <f t="shared" ref="BV2836:DA2836" si="427">"Off"</f>
        <v>Off</v>
      </c>
      <c r="BW2836" t="str">
        <f t="shared" si="427"/>
        <v>Off</v>
      </c>
      <c r="BX2836" t="str">
        <f t="shared" si="427"/>
        <v>Off</v>
      </c>
      <c r="BY2836" t="str">
        <f t="shared" si="427"/>
        <v>Off</v>
      </c>
      <c r="BZ2836" t="str">
        <f t="shared" si="427"/>
        <v>Off</v>
      </c>
      <c r="CA2836" t="str">
        <f t="shared" si="427"/>
        <v>Off</v>
      </c>
      <c r="CB2836" t="str">
        <f t="shared" si="427"/>
        <v>Off</v>
      </c>
      <c r="CC2836" t="str">
        <f t="shared" si="427"/>
        <v>Off</v>
      </c>
      <c r="CD2836" t="str">
        <f t="shared" si="427"/>
        <v>Off</v>
      </c>
      <c r="CE2836" t="str">
        <f t="shared" si="427"/>
        <v>Off</v>
      </c>
      <c r="CF2836" t="str">
        <f t="shared" si="427"/>
        <v>Off</v>
      </c>
      <c r="CG2836" t="str">
        <f t="shared" si="427"/>
        <v>Off</v>
      </c>
      <c r="CH2836" t="str">
        <f t="shared" si="427"/>
        <v>Off</v>
      </c>
      <c r="CI2836" t="str">
        <f t="shared" si="427"/>
        <v>Off</v>
      </c>
      <c r="CJ2836" t="str">
        <f t="shared" si="427"/>
        <v>Off</v>
      </c>
      <c r="CK2836" t="str">
        <f t="shared" si="427"/>
        <v>Off</v>
      </c>
      <c r="CL2836" t="str">
        <f t="shared" si="427"/>
        <v>Off</v>
      </c>
      <c r="CM2836" t="str">
        <f t="shared" si="427"/>
        <v>Off</v>
      </c>
      <c r="CN2836" t="str">
        <f t="shared" si="427"/>
        <v>Off</v>
      </c>
      <c r="CO2836" t="str">
        <f t="shared" si="427"/>
        <v>Off</v>
      </c>
      <c r="CP2836" t="str">
        <f t="shared" si="427"/>
        <v>Off</v>
      </c>
      <c r="CQ2836" t="str">
        <f t="shared" si="427"/>
        <v>Off</v>
      </c>
      <c r="CR2836" t="str">
        <f t="shared" si="427"/>
        <v>Off</v>
      </c>
      <c r="CS2836" t="str">
        <f t="shared" si="427"/>
        <v>Off</v>
      </c>
      <c r="CT2836" t="str">
        <f t="shared" si="427"/>
        <v>Off</v>
      </c>
      <c r="CU2836" t="str">
        <f t="shared" si="427"/>
        <v>Off</v>
      </c>
      <c r="CV2836" t="str">
        <f t="shared" si="427"/>
        <v>Off</v>
      </c>
      <c r="CW2836" t="str">
        <f t="shared" si="427"/>
        <v>Off</v>
      </c>
      <c r="CX2836" t="str">
        <f t="shared" si="427"/>
        <v>Off</v>
      </c>
      <c r="CY2836" t="str">
        <f t="shared" si="427"/>
        <v>Off</v>
      </c>
      <c r="CZ2836" t="str">
        <f t="shared" si="427"/>
        <v>Off</v>
      </c>
      <c r="DA2836" t="str">
        <f t="shared" si="427"/>
        <v>Off</v>
      </c>
      <c r="DB2836" t="str">
        <f t="shared" ref="DB2836:DY2836" si="428">"Off"</f>
        <v>Off</v>
      </c>
      <c r="DC2836" t="str">
        <f t="shared" si="428"/>
        <v>Off</v>
      </c>
      <c r="DD2836" t="str">
        <f t="shared" si="428"/>
        <v>Off</v>
      </c>
      <c r="DE2836" t="str">
        <f t="shared" si="428"/>
        <v>Off</v>
      </c>
      <c r="DF2836" t="str">
        <f t="shared" si="428"/>
        <v>Off</v>
      </c>
      <c r="DG2836" t="str">
        <f t="shared" si="428"/>
        <v>Off</v>
      </c>
      <c r="DH2836" t="str">
        <f t="shared" si="428"/>
        <v>Off</v>
      </c>
      <c r="DI2836" t="str">
        <f t="shared" si="428"/>
        <v>Off</v>
      </c>
      <c r="DJ2836" t="str">
        <f t="shared" si="428"/>
        <v>Off</v>
      </c>
      <c r="DK2836" t="str">
        <f t="shared" si="428"/>
        <v>Off</v>
      </c>
      <c r="DL2836" t="str">
        <f t="shared" si="428"/>
        <v>Off</v>
      </c>
      <c r="DM2836" t="str">
        <f t="shared" si="428"/>
        <v>Off</v>
      </c>
      <c r="DN2836" t="str">
        <f t="shared" si="428"/>
        <v>Off</v>
      </c>
      <c r="DO2836" t="str">
        <f t="shared" si="428"/>
        <v>Off</v>
      </c>
      <c r="DP2836" t="str">
        <f t="shared" si="428"/>
        <v>Off</v>
      </c>
      <c r="DQ2836" t="str">
        <f t="shared" si="428"/>
        <v>Off</v>
      </c>
      <c r="DR2836" t="str">
        <f t="shared" si="428"/>
        <v>Off</v>
      </c>
      <c r="DS2836" t="str">
        <f t="shared" si="428"/>
        <v>Off</v>
      </c>
      <c r="DT2836" t="str">
        <f t="shared" si="428"/>
        <v>Off</v>
      </c>
      <c r="DU2836" t="str">
        <f t="shared" si="428"/>
        <v>Off</v>
      </c>
      <c r="DV2836" t="str">
        <f t="shared" si="428"/>
        <v>Off</v>
      </c>
      <c r="DW2836" t="str">
        <f t="shared" si="428"/>
        <v>Off</v>
      </c>
      <c r="DX2836" t="str">
        <f t="shared" si="428"/>
        <v>Off</v>
      </c>
      <c r="DY2836" t="str">
        <f t="shared" si="428"/>
        <v>Off</v>
      </c>
    </row>
    <row r="2837" spans="1:129">
      <c r="A2837" t="s">
        <v>2434</v>
      </c>
      <c r="B2837">
        <v>1</v>
      </c>
      <c r="C2837">
        <v>2</v>
      </c>
      <c r="D2837">
        <v>2</v>
      </c>
      <c r="E2837">
        <v>2</v>
      </c>
      <c r="F2837">
        <v>2</v>
      </c>
      <c r="G2837">
        <v>2</v>
      </c>
      <c r="H2837">
        <v>3</v>
      </c>
      <c r="I2837">
        <v>4</v>
      </c>
      <c r="J2837">
        <v>4</v>
      </c>
      <c r="K2837">
        <v>4</v>
      </c>
      <c r="L2837">
        <v>4</v>
      </c>
      <c r="M2837">
        <v>4</v>
      </c>
      <c r="N2837">
        <v>1</v>
      </c>
      <c r="O2837">
        <v>3</v>
      </c>
      <c r="P2837">
        <v>5</v>
      </c>
      <c r="Q2837">
        <v>6</v>
      </c>
      <c r="R2837">
        <v>6</v>
      </c>
      <c r="S2837">
        <v>6</v>
      </c>
      <c r="T2837">
        <v>6</v>
      </c>
      <c r="U2837">
        <v>6</v>
      </c>
      <c r="V2837">
        <v>7</v>
      </c>
      <c r="W2837">
        <v>8</v>
      </c>
      <c r="X2837">
        <v>8</v>
      </c>
      <c r="Y2837">
        <v>8</v>
      </c>
      <c r="Z2837">
        <v>8</v>
      </c>
      <c r="AA2837">
        <v>8</v>
      </c>
      <c r="AB2837">
        <v>5</v>
      </c>
      <c r="AC2837">
        <v>7</v>
      </c>
      <c r="AD2837">
        <v>2</v>
      </c>
      <c r="AE2837">
        <v>4</v>
      </c>
      <c r="AF2837">
        <v>6</v>
      </c>
      <c r="AG2837">
        <v>8</v>
      </c>
      <c r="AH2837">
        <v>1</v>
      </c>
      <c r="AI2837">
        <v>2</v>
      </c>
      <c r="AJ2837">
        <v>3</v>
      </c>
      <c r="AK2837">
        <v>4</v>
      </c>
      <c r="AL2837">
        <v>5</v>
      </c>
      <c r="AM2837">
        <v>6</v>
      </c>
      <c r="AN2837">
        <v>7</v>
      </c>
      <c r="AO2837">
        <v>8</v>
      </c>
      <c r="AP2837">
        <v>4</v>
      </c>
      <c r="AQ2837">
        <v>4</v>
      </c>
      <c r="AR2837">
        <v>8</v>
      </c>
      <c r="AS2837">
        <v>8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>
        <v>0</v>
      </c>
      <c r="BH2837">
        <v>0</v>
      </c>
      <c r="BI2837">
        <v>0</v>
      </c>
      <c r="BJ2837">
        <v>0</v>
      </c>
      <c r="BK2837">
        <v>0</v>
      </c>
      <c r="BL2837">
        <v>0</v>
      </c>
      <c r="BM2837">
        <v>0</v>
      </c>
      <c r="BN2837">
        <v>0</v>
      </c>
      <c r="BO2837">
        <v>0</v>
      </c>
      <c r="BP2837">
        <v>0</v>
      </c>
      <c r="BQ2837">
        <v>0</v>
      </c>
      <c r="BR2837">
        <v>0</v>
      </c>
      <c r="BS2837">
        <v>0</v>
      </c>
      <c r="BT2837">
        <v>0</v>
      </c>
      <c r="BU2837">
        <v>0</v>
      </c>
      <c r="BV2837">
        <v>0</v>
      </c>
      <c r="BW2837">
        <v>0</v>
      </c>
      <c r="BX2837">
        <v>0</v>
      </c>
      <c r="BY2837">
        <v>0</v>
      </c>
      <c r="BZ2837">
        <v>0</v>
      </c>
      <c r="CA2837">
        <v>0</v>
      </c>
      <c r="CB2837">
        <v>0</v>
      </c>
      <c r="CC2837">
        <v>0</v>
      </c>
      <c r="CD2837">
        <v>0</v>
      </c>
      <c r="CE2837">
        <v>0</v>
      </c>
      <c r="CF2837">
        <v>0</v>
      </c>
      <c r="CG2837">
        <v>0</v>
      </c>
      <c r="CH2837">
        <v>0</v>
      </c>
      <c r="CI2837">
        <v>0</v>
      </c>
      <c r="CJ2837">
        <v>0</v>
      </c>
      <c r="CK2837">
        <v>0</v>
      </c>
      <c r="CL2837">
        <v>0</v>
      </c>
      <c r="CM2837">
        <v>0</v>
      </c>
      <c r="CN2837">
        <v>0</v>
      </c>
      <c r="CO2837">
        <v>0</v>
      </c>
      <c r="CP2837">
        <v>0</v>
      </c>
      <c r="CQ2837">
        <v>0</v>
      </c>
      <c r="CR2837">
        <v>0</v>
      </c>
      <c r="CS2837">
        <v>0</v>
      </c>
      <c r="CT2837">
        <v>0</v>
      </c>
      <c r="CU2837">
        <v>0</v>
      </c>
      <c r="CV2837">
        <v>0</v>
      </c>
      <c r="CW2837">
        <v>0</v>
      </c>
      <c r="CX2837">
        <v>0</v>
      </c>
      <c r="CY2837">
        <v>0</v>
      </c>
      <c r="CZ2837">
        <v>0</v>
      </c>
      <c r="DA2837">
        <v>0</v>
      </c>
      <c r="DB2837">
        <v>0</v>
      </c>
      <c r="DC2837">
        <v>0</v>
      </c>
      <c r="DD2837">
        <v>0</v>
      </c>
      <c r="DE2837">
        <v>0</v>
      </c>
      <c r="DF2837">
        <v>0</v>
      </c>
      <c r="DG2837">
        <v>0</v>
      </c>
      <c r="DH2837">
        <v>0</v>
      </c>
      <c r="DI2837">
        <v>0</v>
      </c>
      <c r="DJ2837">
        <v>0</v>
      </c>
      <c r="DK2837">
        <v>0</v>
      </c>
      <c r="DL2837">
        <v>0</v>
      </c>
      <c r="DM2837">
        <v>0</v>
      </c>
      <c r="DN2837">
        <v>0</v>
      </c>
      <c r="DO2837">
        <v>0</v>
      </c>
      <c r="DP2837">
        <v>0</v>
      </c>
      <c r="DQ2837">
        <v>0</v>
      </c>
      <c r="DR2837">
        <v>0</v>
      </c>
      <c r="DS2837">
        <v>0</v>
      </c>
      <c r="DT2837">
        <v>0</v>
      </c>
      <c r="DU2837">
        <v>0</v>
      </c>
      <c r="DV2837">
        <v>0</v>
      </c>
      <c r="DW2837">
        <v>0</v>
      </c>
      <c r="DX2837">
        <v>0</v>
      </c>
      <c r="DY2837">
        <v>0</v>
      </c>
    </row>
    <row r="2838" spans="1:129">
      <c r="A2838" t="s">
        <v>2783</v>
      </c>
      <c r="B2838">
        <v>0</v>
      </c>
      <c r="C2838">
        <v>0</v>
      </c>
      <c r="D2838">
        <v>0</v>
      </c>
      <c r="E2838">
        <v>0</v>
      </c>
      <c r="F2838">
        <v>15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15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15</v>
      </c>
      <c r="AE2838">
        <v>15</v>
      </c>
      <c r="AF2838">
        <v>15</v>
      </c>
      <c r="AG2838">
        <v>15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v>0</v>
      </c>
      <c r="BH2838">
        <v>0</v>
      </c>
      <c r="BI2838">
        <v>0</v>
      </c>
      <c r="BJ2838">
        <v>0</v>
      </c>
      <c r="BK2838">
        <v>0</v>
      </c>
      <c r="BL2838">
        <v>0</v>
      </c>
      <c r="BM2838">
        <v>0</v>
      </c>
      <c r="BN2838">
        <v>0</v>
      </c>
      <c r="BO2838">
        <v>0</v>
      </c>
      <c r="BP2838">
        <v>0</v>
      </c>
      <c r="BQ2838">
        <v>0</v>
      </c>
      <c r="BR2838">
        <v>0</v>
      </c>
      <c r="BS2838">
        <v>0</v>
      </c>
      <c r="BT2838">
        <v>0</v>
      </c>
      <c r="BU2838">
        <v>0</v>
      </c>
      <c r="BV2838">
        <v>0</v>
      </c>
      <c r="BW2838">
        <v>0</v>
      </c>
      <c r="BX2838">
        <v>0</v>
      </c>
      <c r="BY2838">
        <v>0</v>
      </c>
      <c r="BZ2838">
        <v>0</v>
      </c>
      <c r="CA2838">
        <v>0</v>
      </c>
      <c r="CB2838">
        <v>0</v>
      </c>
      <c r="CC2838">
        <v>0</v>
      </c>
      <c r="CD2838">
        <v>0</v>
      </c>
      <c r="CE2838">
        <v>0</v>
      </c>
      <c r="CF2838">
        <v>0</v>
      </c>
      <c r="CG2838">
        <v>0</v>
      </c>
      <c r="CH2838">
        <v>0</v>
      </c>
      <c r="CI2838">
        <v>0</v>
      </c>
      <c r="CJ2838">
        <v>0</v>
      </c>
      <c r="CK2838">
        <v>0</v>
      </c>
      <c r="CL2838">
        <v>0</v>
      </c>
      <c r="CM2838">
        <v>0</v>
      </c>
      <c r="CN2838">
        <v>0</v>
      </c>
      <c r="CO2838">
        <v>0</v>
      </c>
      <c r="CP2838">
        <v>0</v>
      </c>
      <c r="CQ2838">
        <v>0</v>
      </c>
      <c r="CR2838">
        <v>0</v>
      </c>
      <c r="CS2838">
        <v>0</v>
      </c>
      <c r="CT2838">
        <v>0</v>
      </c>
      <c r="CU2838">
        <v>0</v>
      </c>
      <c r="CV2838">
        <v>0</v>
      </c>
      <c r="CW2838">
        <v>0</v>
      </c>
      <c r="CX2838">
        <v>0</v>
      </c>
      <c r="CY2838">
        <v>0</v>
      </c>
      <c r="CZ2838">
        <v>0</v>
      </c>
      <c r="DA2838">
        <v>0</v>
      </c>
      <c r="DB2838">
        <v>0</v>
      </c>
      <c r="DC2838">
        <v>0</v>
      </c>
      <c r="DD2838">
        <v>0</v>
      </c>
      <c r="DE2838">
        <v>0</v>
      </c>
      <c r="DF2838">
        <v>0</v>
      </c>
      <c r="DG2838">
        <v>0</v>
      </c>
      <c r="DH2838">
        <v>0</v>
      </c>
      <c r="DI2838">
        <v>0</v>
      </c>
      <c r="DJ2838">
        <v>0</v>
      </c>
      <c r="DK2838">
        <v>0</v>
      </c>
      <c r="DL2838">
        <v>0</v>
      </c>
      <c r="DM2838">
        <v>0</v>
      </c>
      <c r="DN2838">
        <v>0</v>
      </c>
      <c r="DO2838">
        <v>0</v>
      </c>
      <c r="DP2838">
        <v>0</v>
      </c>
      <c r="DQ2838">
        <v>0</v>
      </c>
      <c r="DR2838">
        <v>0</v>
      </c>
      <c r="DS2838">
        <v>0</v>
      </c>
      <c r="DT2838">
        <v>0</v>
      </c>
      <c r="DU2838">
        <v>0</v>
      </c>
      <c r="DV2838">
        <v>0</v>
      </c>
      <c r="DW2838">
        <v>0</v>
      </c>
      <c r="DX2838">
        <v>0</v>
      </c>
      <c r="DY2838">
        <v>0</v>
      </c>
    </row>
    <row r="2839" spans="1:129">
      <c r="A2839" t="s">
        <v>3593</v>
      </c>
      <c r="B2839">
        <v>0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>
        <v>0</v>
      </c>
      <c r="BH2839">
        <v>0</v>
      </c>
      <c r="BI2839">
        <v>0</v>
      </c>
      <c r="BJ2839">
        <v>0</v>
      </c>
      <c r="BK2839">
        <v>0</v>
      </c>
      <c r="BL2839">
        <v>0</v>
      </c>
      <c r="BM2839">
        <v>0</v>
      </c>
      <c r="BN2839">
        <v>0</v>
      </c>
      <c r="BO2839">
        <v>0</v>
      </c>
      <c r="BP2839">
        <v>0</v>
      </c>
      <c r="BQ2839">
        <v>0</v>
      </c>
      <c r="BR2839">
        <v>0</v>
      </c>
      <c r="BS2839">
        <v>0</v>
      </c>
      <c r="BT2839">
        <v>0</v>
      </c>
      <c r="BU2839">
        <v>0</v>
      </c>
      <c r="BV2839">
        <v>0</v>
      </c>
      <c r="BW2839">
        <v>0</v>
      </c>
      <c r="BX2839">
        <v>0</v>
      </c>
      <c r="BY2839">
        <v>0</v>
      </c>
      <c r="BZ2839">
        <v>0</v>
      </c>
      <c r="CA2839">
        <v>0</v>
      </c>
      <c r="CB2839">
        <v>0</v>
      </c>
      <c r="CC2839">
        <v>0</v>
      </c>
      <c r="CD2839">
        <v>0</v>
      </c>
      <c r="CE2839">
        <v>0</v>
      </c>
      <c r="CF2839">
        <v>0</v>
      </c>
      <c r="CG2839">
        <v>0</v>
      </c>
      <c r="CH2839">
        <v>0</v>
      </c>
      <c r="CI2839">
        <v>0</v>
      </c>
      <c r="CJ2839">
        <v>0</v>
      </c>
      <c r="CK2839">
        <v>0</v>
      </c>
      <c r="CL2839">
        <v>0</v>
      </c>
      <c r="CM2839">
        <v>0</v>
      </c>
      <c r="CN2839">
        <v>0</v>
      </c>
      <c r="CO2839">
        <v>0</v>
      </c>
      <c r="CP2839">
        <v>0</v>
      </c>
      <c r="CQ2839">
        <v>0</v>
      </c>
      <c r="CR2839">
        <v>0</v>
      </c>
      <c r="CS2839">
        <v>0</v>
      </c>
      <c r="CT2839">
        <v>0</v>
      </c>
      <c r="CU2839">
        <v>0</v>
      </c>
      <c r="CV2839">
        <v>0</v>
      </c>
      <c r="CW2839">
        <v>0</v>
      </c>
      <c r="CX2839">
        <v>0</v>
      </c>
      <c r="CY2839">
        <v>0</v>
      </c>
      <c r="CZ2839">
        <v>0</v>
      </c>
      <c r="DA2839">
        <v>0</v>
      </c>
      <c r="DB2839">
        <v>0</v>
      </c>
      <c r="DC2839">
        <v>0</v>
      </c>
      <c r="DD2839">
        <v>0</v>
      </c>
      <c r="DE2839">
        <v>0</v>
      </c>
      <c r="DF2839">
        <v>0</v>
      </c>
      <c r="DG2839">
        <v>0</v>
      </c>
      <c r="DH2839">
        <v>0</v>
      </c>
      <c r="DI2839">
        <v>0</v>
      </c>
      <c r="DJ2839">
        <v>0</v>
      </c>
      <c r="DK2839">
        <v>0</v>
      </c>
      <c r="DL2839">
        <v>0</v>
      </c>
      <c r="DM2839">
        <v>0</v>
      </c>
      <c r="DN2839">
        <v>0</v>
      </c>
      <c r="DO2839">
        <v>0</v>
      </c>
      <c r="DP2839">
        <v>0</v>
      </c>
      <c r="DQ2839">
        <v>0</v>
      </c>
      <c r="DR2839">
        <v>0</v>
      </c>
      <c r="DS2839">
        <v>0</v>
      </c>
      <c r="DT2839">
        <v>0</v>
      </c>
      <c r="DU2839">
        <v>0</v>
      </c>
      <c r="DV2839">
        <v>0</v>
      </c>
      <c r="DW2839">
        <v>0</v>
      </c>
      <c r="DX2839">
        <v>0</v>
      </c>
      <c r="DY2839">
        <v>0</v>
      </c>
    </row>
    <row r="2840" spans="1:129">
      <c r="A2840" t="s">
        <v>3594</v>
      </c>
      <c r="B2840" t="str">
        <f>"On"</f>
        <v>On</v>
      </c>
      <c r="C2840" t="str">
        <f>"On"</f>
        <v>On</v>
      </c>
      <c r="D2840" t="str">
        <f>"Off"</f>
        <v>Off</v>
      </c>
      <c r="E2840" t="str">
        <f>"Off"</f>
        <v>Off</v>
      </c>
      <c r="F2840" t="str">
        <f>"Off"</f>
        <v>Off</v>
      </c>
      <c r="G2840" t="str">
        <f>"Off"</f>
        <v>Off</v>
      </c>
      <c r="H2840" t="str">
        <f>"On"</f>
        <v>On</v>
      </c>
      <c r="I2840" t="str">
        <f>"On"</f>
        <v>On</v>
      </c>
      <c r="J2840" t="str">
        <f>"Off"</f>
        <v>Off</v>
      </c>
      <c r="K2840" t="str">
        <f>"Off"</f>
        <v>Off</v>
      </c>
      <c r="L2840" t="str">
        <f>"Off"</f>
        <v>Off</v>
      </c>
      <c r="M2840" t="str">
        <f>"Off"</f>
        <v>Off</v>
      </c>
      <c r="N2840" t="str">
        <f>"On"</f>
        <v>On</v>
      </c>
      <c r="O2840" t="str">
        <f>"On"</f>
        <v>On</v>
      </c>
      <c r="P2840" t="str">
        <f>"On"</f>
        <v>On</v>
      </c>
      <c r="Q2840" t="str">
        <f>"On"</f>
        <v>On</v>
      </c>
      <c r="R2840" t="str">
        <f>"Off"</f>
        <v>Off</v>
      </c>
      <c r="S2840" t="str">
        <f>"Off"</f>
        <v>Off</v>
      </c>
      <c r="T2840" t="str">
        <f>"Off"</f>
        <v>Off</v>
      </c>
      <c r="U2840" t="str">
        <f>"Off"</f>
        <v>Off</v>
      </c>
      <c r="V2840" t="str">
        <f>"On"</f>
        <v>On</v>
      </c>
      <c r="W2840" t="str">
        <f>"On"</f>
        <v>On</v>
      </c>
      <c r="X2840" t="str">
        <f>"Off"</f>
        <v>Off</v>
      </c>
      <c r="Y2840" t="str">
        <f>"Off"</f>
        <v>Off</v>
      </c>
      <c r="Z2840" t="str">
        <f>"Off"</f>
        <v>Off</v>
      </c>
      <c r="AA2840" t="str">
        <f>"Off"</f>
        <v>Off</v>
      </c>
      <c r="AB2840" t="str">
        <f>"On"</f>
        <v>On</v>
      </c>
      <c r="AC2840" t="str">
        <f>"On"</f>
        <v>On</v>
      </c>
      <c r="AD2840" t="str">
        <f>"Off"</f>
        <v>Off</v>
      </c>
      <c r="AE2840" t="str">
        <f>"Off"</f>
        <v>Off</v>
      </c>
      <c r="AF2840" t="str">
        <f>"Off"</f>
        <v>Off</v>
      </c>
      <c r="AG2840" t="str">
        <f>"Off"</f>
        <v>Off</v>
      </c>
      <c r="AH2840" t="str">
        <f>"On"</f>
        <v>On</v>
      </c>
      <c r="AI2840" t="str">
        <f>"Off"</f>
        <v>Off</v>
      </c>
      <c r="AJ2840" t="str">
        <f>"On"</f>
        <v>On</v>
      </c>
      <c r="AK2840" t="str">
        <f>"Off"</f>
        <v>Off</v>
      </c>
      <c r="AL2840" t="str">
        <f>"On"</f>
        <v>On</v>
      </c>
      <c r="AM2840" t="str">
        <f>"Off"</f>
        <v>Off</v>
      </c>
      <c r="AN2840" t="str">
        <f>"On"</f>
        <v>On</v>
      </c>
      <c r="AO2840" t="str">
        <f>"Off"</f>
        <v>Off</v>
      </c>
      <c r="AP2840" t="str">
        <f>"On"</f>
        <v>On</v>
      </c>
      <c r="AQ2840" t="str">
        <f>"On"</f>
        <v>On</v>
      </c>
      <c r="AR2840" t="str">
        <f>"On"</f>
        <v>On</v>
      </c>
      <c r="AS2840" t="str">
        <f>"On"</f>
        <v>On</v>
      </c>
      <c r="AT2840" t="str">
        <f t="shared" ref="AT2840:BY2840" si="429">"Off"</f>
        <v>Off</v>
      </c>
      <c r="AU2840" t="str">
        <f t="shared" si="429"/>
        <v>Off</v>
      </c>
      <c r="AV2840" t="str">
        <f t="shared" si="429"/>
        <v>Off</v>
      </c>
      <c r="AW2840" t="str">
        <f t="shared" si="429"/>
        <v>Off</v>
      </c>
      <c r="AX2840" t="str">
        <f t="shared" si="429"/>
        <v>Off</v>
      </c>
      <c r="AY2840" t="str">
        <f t="shared" si="429"/>
        <v>Off</v>
      </c>
      <c r="AZ2840" t="str">
        <f t="shared" si="429"/>
        <v>Off</v>
      </c>
      <c r="BA2840" t="str">
        <f t="shared" si="429"/>
        <v>Off</v>
      </c>
      <c r="BB2840" t="str">
        <f t="shared" si="429"/>
        <v>Off</v>
      </c>
      <c r="BC2840" t="str">
        <f t="shared" si="429"/>
        <v>Off</v>
      </c>
      <c r="BD2840" t="str">
        <f t="shared" si="429"/>
        <v>Off</v>
      </c>
      <c r="BE2840" t="str">
        <f t="shared" si="429"/>
        <v>Off</v>
      </c>
      <c r="BF2840" t="str">
        <f t="shared" si="429"/>
        <v>Off</v>
      </c>
      <c r="BG2840" t="str">
        <f t="shared" si="429"/>
        <v>Off</v>
      </c>
      <c r="BH2840" t="str">
        <f t="shared" si="429"/>
        <v>Off</v>
      </c>
      <c r="BI2840" t="str">
        <f t="shared" si="429"/>
        <v>Off</v>
      </c>
      <c r="BJ2840" t="str">
        <f t="shared" si="429"/>
        <v>Off</v>
      </c>
      <c r="BK2840" t="str">
        <f t="shared" si="429"/>
        <v>Off</v>
      </c>
      <c r="BL2840" t="str">
        <f t="shared" si="429"/>
        <v>Off</v>
      </c>
      <c r="BM2840" t="str">
        <f t="shared" si="429"/>
        <v>Off</v>
      </c>
      <c r="BN2840" t="str">
        <f t="shared" si="429"/>
        <v>Off</v>
      </c>
      <c r="BO2840" t="str">
        <f t="shared" si="429"/>
        <v>Off</v>
      </c>
      <c r="BP2840" t="str">
        <f t="shared" si="429"/>
        <v>Off</v>
      </c>
      <c r="BQ2840" t="str">
        <f t="shared" si="429"/>
        <v>Off</v>
      </c>
      <c r="BR2840" t="str">
        <f t="shared" si="429"/>
        <v>Off</v>
      </c>
      <c r="BS2840" t="str">
        <f t="shared" si="429"/>
        <v>Off</v>
      </c>
      <c r="BT2840" t="str">
        <f t="shared" si="429"/>
        <v>Off</v>
      </c>
      <c r="BU2840" t="str">
        <f t="shared" si="429"/>
        <v>Off</v>
      </c>
      <c r="BV2840" t="str">
        <f t="shared" si="429"/>
        <v>Off</v>
      </c>
      <c r="BW2840" t="str">
        <f t="shared" si="429"/>
        <v>Off</v>
      </c>
      <c r="BX2840" t="str">
        <f t="shared" si="429"/>
        <v>Off</v>
      </c>
      <c r="BY2840" t="str">
        <f t="shared" si="429"/>
        <v>Off</v>
      </c>
      <c r="BZ2840" t="str">
        <f t="shared" ref="BZ2840:DE2840" si="430">"Off"</f>
        <v>Off</v>
      </c>
      <c r="CA2840" t="str">
        <f t="shared" si="430"/>
        <v>Off</v>
      </c>
      <c r="CB2840" t="str">
        <f t="shared" si="430"/>
        <v>Off</v>
      </c>
      <c r="CC2840" t="str">
        <f t="shared" si="430"/>
        <v>Off</v>
      </c>
      <c r="CD2840" t="str">
        <f t="shared" si="430"/>
        <v>Off</v>
      </c>
      <c r="CE2840" t="str">
        <f t="shared" si="430"/>
        <v>Off</v>
      </c>
      <c r="CF2840" t="str">
        <f t="shared" si="430"/>
        <v>Off</v>
      </c>
      <c r="CG2840" t="str">
        <f t="shared" si="430"/>
        <v>Off</v>
      </c>
      <c r="CH2840" t="str">
        <f t="shared" si="430"/>
        <v>Off</v>
      </c>
      <c r="CI2840" t="str">
        <f t="shared" si="430"/>
        <v>Off</v>
      </c>
      <c r="CJ2840" t="str">
        <f t="shared" si="430"/>
        <v>Off</v>
      </c>
      <c r="CK2840" t="str">
        <f t="shared" si="430"/>
        <v>Off</v>
      </c>
      <c r="CL2840" t="str">
        <f t="shared" si="430"/>
        <v>Off</v>
      </c>
      <c r="CM2840" t="str">
        <f t="shared" si="430"/>
        <v>Off</v>
      </c>
      <c r="CN2840" t="str">
        <f t="shared" si="430"/>
        <v>Off</v>
      </c>
      <c r="CO2840" t="str">
        <f t="shared" si="430"/>
        <v>Off</v>
      </c>
      <c r="CP2840" t="str">
        <f t="shared" si="430"/>
        <v>Off</v>
      </c>
      <c r="CQ2840" t="str">
        <f t="shared" si="430"/>
        <v>Off</v>
      </c>
      <c r="CR2840" t="str">
        <f t="shared" si="430"/>
        <v>Off</v>
      </c>
      <c r="CS2840" t="str">
        <f t="shared" si="430"/>
        <v>Off</v>
      </c>
      <c r="CT2840" t="str">
        <f t="shared" si="430"/>
        <v>Off</v>
      </c>
      <c r="CU2840" t="str">
        <f t="shared" si="430"/>
        <v>Off</v>
      </c>
      <c r="CV2840" t="str">
        <f t="shared" si="430"/>
        <v>Off</v>
      </c>
      <c r="CW2840" t="str">
        <f t="shared" si="430"/>
        <v>Off</v>
      </c>
      <c r="CX2840" t="str">
        <f t="shared" si="430"/>
        <v>Off</v>
      </c>
      <c r="CY2840" t="str">
        <f t="shared" si="430"/>
        <v>Off</v>
      </c>
      <c r="CZ2840" t="str">
        <f t="shared" si="430"/>
        <v>Off</v>
      </c>
      <c r="DA2840" t="str">
        <f t="shared" si="430"/>
        <v>Off</v>
      </c>
      <c r="DB2840" t="str">
        <f t="shared" si="430"/>
        <v>Off</v>
      </c>
      <c r="DC2840" t="str">
        <f t="shared" si="430"/>
        <v>Off</v>
      </c>
      <c r="DD2840" t="str">
        <f t="shared" si="430"/>
        <v>Off</v>
      </c>
      <c r="DE2840" t="str">
        <f t="shared" si="430"/>
        <v>Off</v>
      </c>
      <c r="DF2840" t="str">
        <f t="shared" ref="DF2840:DY2840" si="431">"Off"</f>
        <v>Off</v>
      </c>
      <c r="DG2840" t="str">
        <f t="shared" si="431"/>
        <v>Off</v>
      </c>
      <c r="DH2840" t="str">
        <f t="shared" si="431"/>
        <v>Off</v>
      </c>
      <c r="DI2840" t="str">
        <f t="shared" si="431"/>
        <v>Off</v>
      </c>
      <c r="DJ2840" t="str">
        <f t="shared" si="431"/>
        <v>Off</v>
      </c>
      <c r="DK2840" t="str">
        <f t="shared" si="431"/>
        <v>Off</v>
      </c>
      <c r="DL2840" t="str">
        <f t="shared" si="431"/>
        <v>Off</v>
      </c>
      <c r="DM2840" t="str">
        <f t="shared" si="431"/>
        <v>Off</v>
      </c>
      <c r="DN2840" t="str">
        <f t="shared" si="431"/>
        <v>Off</v>
      </c>
      <c r="DO2840" t="str">
        <f t="shared" si="431"/>
        <v>Off</v>
      </c>
      <c r="DP2840" t="str">
        <f t="shared" si="431"/>
        <v>Off</v>
      </c>
      <c r="DQ2840" t="str">
        <f t="shared" si="431"/>
        <v>Off</v>
      </c>
      <c r="DR2840" t="str">
        <f t="shared" si="431"/>
        <v>Off</v>
      </c>
      <c r="DS2840" t="str">
        <f t="shared" si="431"/>
        <v>Off</v>
      </c>
      <c r="DT2840" t="str">
        <f t="shared" si="431"/>
        <v>Off</v>
      </c>
      <c r="DU2840" t="str">
        <f t="shared" si="431"/>
        <v>Off</v>
      </c>
      <c r="DV2840" t="str">
        <f t="shared" si="431"/>
        <v>Off</v>
      </c>
      <c r="DW2840" t="str">
        <f t="shared" si="431"/>
        <v>Off</v>
      </c>
      <c r="DX2840" t="str">
        <f t="shared" si="431"/>
        <v>Off</v>
      </c>
      <c r="DY2840" t="str">
        <f t="shared" si="431"/>
        <v>Off</v>
      </c>
    </row>
    <row r="2841" spans="1:129">
      <c r="A2841" t="s">
        <v>3595</v>
      </c>
      <c r="B2841">
        <v>0</v>
      </c>
      <c r="C2841">
        <v>0</v>
      </c>
      <c r="D2841">
        <v>2</v>
      </c>
      <c r="E2841">
        <v>2</v>
      </c>
      <c r="F2841">
        <v>2</v>
      </c>
      <c r="G2841">
        <v>2</v>
      </c>
      <c r="H2841">
        <v>0</v>
      </c>
      <c r="I2841">
        <v>0</v>
      </c>
      <c r="J2841">
        <v>2</v>
      </c>
      <c r="K2841">
        <v>2</v>
      </c>
      <c r="L2841">
        <v>2</v>
      </c>
      <c r="M2841">
        <v>2</v>
      </c>
      <c r="N2841">
        <v>0</v>
      </c>
      <c r="O2841">
        <v>0</v>
      </c>
      <c r="P2841">
        <v>0</v>
      </c>
      <c r="Q2841">
        <v>0</v>
      </c>
      <c r="R2841">
        <v>2</v>
      </c>
      <c r="S2841">
        <v>2</v>
      </c>
      <c r="T2841">
        <v>2</v>
      </c>
      <c r="U2841">
        <v>2</v>
      </c>
      <c r="V2841">
        <v>0</v>
      </c>
      <c r="W2841">
        <v>0</v>
      </c>
      <c r="X2841">
        <v>2</v>
      </c>
      <c r="Y2841">
        <v>2</v>
      </c>
      <c r="Z2841">
        <v>2</v>
      </c>
      <c r="AA2841">
        <v>2</v>
      </c>
      <c r="AB2841">
        <v>0</v>
      </c>
      <c r="AC2841">
        <v>0</v>
      </c>
      <c r="AD2841">
        <v>2</v>
      </c>
      <c r="AE2841">
        <v>2</v>
      </c>
      <c r="AF2841">
        <v>2</v>
      </c>
      <c r="AG2841">
        <v>2</v>
      </c>
      <c r="AH2841">
        <v>0</v>
      </c>
      <c r="AI2841">
        <v>2</v>
      </c>
      <c r="AJ2841">
        <v>0</v>
      </c>
      <c r="AK2841">
        <v>2</v>
      </c>
      <c r="AL2841">
        <v>0</v>
      </c>
      <c r="AM2841">
        <v>2</v>
      </c>
      <c r="AN2841">
        <v>0</v>
      </c>
      <c r="AO2841">
        <v>2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v>0</v>
      </c>
      <c r="BH2841">
        <v>0</v>
      </c>
      <c r="BI2841">
        <v>0</v>
      </c>
      <c r="BJ2841">
        <v>0</v>
      </c>
      <c r="BK2841">
        <v>0</v>
      </c>
      <c r="BL2841">
        <v>0</v>
      </c>
      <c r="BM2841">
        <v>0</v>
      </c>
      <c r="BN2841">
        <v>0</v>
      </c>
      <c r="BO2841">
        <v>0</v>
      </c>
      <c r="BP2841">
        <v>0</v>
      </c>
      <c r="BQ2841">
        <v>0</v>
      </c>
      <c r="BR2841">
        <v>0</v>
      </c>
      <c r="BS2841">
        <v>0</v>
      </c>
      <c r="BT2841">
        <v>0</v>
      </c>
      <c r="BU2841">
        <v>0</v>
      </c>
      <c r="BV2841">
        <v>0</v>
      </c>
      <c r="BW2841">
        <v>0</v>
      </c>
      <c r="BX2841">
        <v>0</v>
      </c>
      <c r="BY2841">
        <v>0</v>
      </c>
      <c r="BZ2841">
        <v>0</v>
      </c>
      <c r="CA2841">
        <v>0</v>
      </c>
      <c r="CB2841">
        <v>0</v>
      </c>
      <c r="CC2841">
        <v>0</v>
      </c>
      <c r="CD2841">
        <v>0</v>
      </c>
      <c r="CE2841">
        <v>0</v>
      </c>
      <c r="CF2841">
        <v>0</v>
      </c>
      <c r="CG2841">
        <v>0</v>
      </c>
      <c r="CH2841">
        <v>0</v>
      </c>
      <c r="CI2841">
        <v>0</v>
      </c>
      <c r="CJ2841">
        <v>0</v>
      </c>
      <c r="CK2841">
        <v>0</v>
      </c>
      <c r="CL2841">
        <v>0</v>
      </c>
      <c r="CM2841">
        <v>0</v>
      </c>
      <c r="CN2841">
        <v>0</v>
      </c>
      <c r="CO2841">
        <v>0</v>
      </c>
      <c r="CP2841">
        <v>0</v>
      </c>
      <c r="CQ2841">
        <v>0</v>
      </c>
      <c r="CR2841">
        <v>0</v>
      </c>
      <c r="CS2841">
        <v>0</v>
      </c>
      <c r="CT2841">
        <v>0</v>
      </c>
      <c r="CU2841">
        <v>0</v>
      </c>
      <c r="CV2841">
        <v>0</v>
      </c>
      <c r="CW2841">
        <v>0</v>
      </c>
      <c r="CX2841">
        <v>0</v>
      </c>
      <c r="CY2841">
        <v>0</v>
      </c>
      <c r="CZ2841">
        <v>0</v>
      </c>
      <c r="DA2841">
        <v>0</v>
      </c>
      <c r="DB2841">
        <v>0</v>
      </c>
      <c r="DC2841">
        <v>0</v>
      </c>
      <c r="DD2841">
        <v>0</v>
      </c>
      <c r="DE2841">
        <v>0</v>
      </c>
      <c r="DF2841">
        <v>0</v>
      </c>
      <c r="DG2841">
        <v>0</v>
      </c>
      <c r="DH2841">
        <v>0</v>
      </c>
      <c r="DI2841">
        <v>0</v>
      </c>
      <c r="DJ2841">
        <v>0</v>
      </c>
      <c r="DK2841">
        <v>0</v>
      </c>
      <c r="DL2841">
        <v>0</v>
      </c>
      <c r="DM2841">
        <v>0</v>
      </c>
      <c r="DN2841">
        <v>0</v>
      </c>
      <c r="DO2841">
        <v>0</v>
      </c>
      <c r="DP2841">
        <v>0</v>
      </c>
      <c r="DQ2841">
        <v>0</v>
      </c>
      <c r="DR2841">
        <v>0</v>
      </c>
      <c r="DS2841">
        <v>0</v>
      </c>
      <c r="DT2841">
        <v>0</v>
      </c>
      <c r="DU2841">
        <v>0</v>
      </c>
      <c r="DV2841">
        <v>0</v>
      </c>
      <c r="DW2841">
        <v>0</v>
      </c>
      <c r="DX2841">
        <v>0</v>
      </c>
      <c r="DY2841">
        <v>0</v>
      </c>
    </row>
    <row r="2842" spans="1:129">
      <c r="A2842" t="s">
        <v>3596</v>
      </c>
      <c r="B2842">
        <v>255</v>
      </c>
      <c r="C2842">
        <v>255</v>
      </c>
      <c r="D2842">
        <v>255</v>
      </c>
      <c r="E2842">
        <v>255</v>
      </c>
      <c r="F2842">
        <v>255</v>
      </c>
      <c r="G2842">
        <v>255</v>
      </c>
      <c r="H2842">
        <v>255</v>
      </c>
      <c r="I2842">
        <v>255</v>
      </c>
      <c r="J2842">
        <v>255</v>
      </c>
      <c r="K2842">
        <v>255</v>
      </c>
      <c r="L2842">
        <v>255</v>
      </c>
      <c r="M2842">
        <v>255</v>
      </c>
      <c r="N2842">
        <v>255</v>
      </c>
      <c r="O2842">
        <v>255</v>
      </c>
      <c r="P2842">
        <v>255</v>
      </c>
      <c r="Q2842">
        <v>255</v>
      </c>
      <c r="R2842">
        <v>255</v>
      </c>
      <c r="S2842">
        <v>255</v>
      </c>
      <c r="T2842">
        <v>255</v>
      </c>
      <c r="U2842">
        <v>255</v>
      </c>
      <c r="V2842">
        <v>255</v>
      </c>
      <c r="W2842">
        <v>255</v>
      </c>
      <c r="X2842">
        <v>255</v>
      </c>
      <c r="Y2842">
        <v>255</v>
      </c>
      <c r="Z2842">
        <v>255</v>
      </c>
      <c r="AA2842">
        <v>255</v>
      </c>
      <c r="AB2842">
        <v>255</v>
      </c>
      <c r="AC2842">
        <v>255</v>
      </c>
      <c r="AD2842">
        <v>255</v>
      </c>
      <c r="AE2842">
        <v>255</v>
      </c>
      <c r="AF2842">
        <v>255</v>
      </c>
      <c r="AG2842">
        <v>255</v>
      </c>
      <c r="AH2842">
        <v>255</v>
      </c>
      <c r="AI2842">
        <v>255</v>
      </c>
      <c r="AJ2842">
        <v>255</v>
      </c>
      <c r="AK2842">
        <v>255</v>
      </c>
      <c r="AL2842">
        <v>255</v>
      </c>
      <c r="AM2842">
        <v>255</v>
      </c>
      <c r="AN2842">
        <v>255</v>
      </c>
      <c r="AO2842">
        <v>255</v>
      </c>
      <c r="AP2842">
        <v>255</v>
      </c>
      <c r="AQ2842">
        <v>255</v>
      </c>
      <c r="AR2842">
        <v>255</v>
      </c>
      <c r="AS2842">
        <v>255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>
        <v>0</v>
      </c>
      <c r="BH2842">
        <v>0</v>
      </c>
      <c r="BI2842">
        <v>0</v>
      </c>
      <c r="BJ2842">
        <v>0</v>
      </c>
      <c r="BK2842">
        <v>0</v>
      </c>
      <c r="BL2842">
        <v>0</v>
      </c>
      <c r="BM2842">
        <v>0</v>
      </c>
      <c r="BN2842">
        <v>0</v>
      </c>
      <c r="BO2842">
        <v>0</v>
      </c>
      <c r="BP2842">
        <v>0</v>
      </c>
      <c r="BQ2842">
        <v>0</v>
      </c>
      <c r="BR2842">
        <v>0</v>
      </c>
      <c r="BS2842">
        <v>0</v>
      </c>
      <c r="BT2842">
        <v>0</v>
      </c>
      <c r="BU2842">
        <v>0</v>
      </c>
      <c r="BV2842">
        <v>0</v>
      </c>
      <c r="BW2842">
        <v>0</v>
      </c>
      <c r="BX2842">
        <v>0</v>
      </c>
      <c r="BY2842">
        <v>0</v>
      </c>
      <c r="BZ2842">
        <v>0</v>
      </c>
      <c r="CA2842">
        <v>0</v>
      </c>
      <c r="CB2842">
        <v>0</v>
      </c>
      <c r="CC2842">
        <v>0</v>
      </c>
      <c r="CD2842">
        <v>0</v>
      </c>
      <c r="CE2842">
        <v>0</v>
      </c>
      <c r="CF2842">
        <v>0</v>
      </c>
      <c r="CG2842">
        <v>0</v>
      </c>
      <c r="CH2842">
        <v>0</v>
      </c>
      <c r="CI2842">
        <v>0</v>
      </c>
      <c r="CJ2842">
        <v>0</v>
      </c>
      <c r="CK2842">
        <v>0</v>
      </c>
      <c r="CL2842">
        <v>0</v>
      </c>
      <c r="CM2842">
        <v>0</v>
      </c>
      <c r="CN2842">
        <v>0</v>
      </c>
      <c r="CO2842">
        <v>0</v>
      </c>
      <c r="CP2842">
        <v>0</v>
      </c>
      <c r="CQ2842">
        <v>0</v>
      </c>
      <c r="CR2842">
        <v>0</v>
      </c>
      <c r="CS2842">
        <v>0</v>
      </c>
      <c r="CT2842">
        <v>0</v>
      </c>
      <c r="CU2842">
        <v>0</v>
      </c>
      <c r="CV2842">
        <v>0</v>
      </c>
      <c r="CW2842">
        <v>0</v>
      </c>
      <c r="CX2842">
        <v>0</v>
      </c>
      <c r="CY2842">
        <v>0</v>
      </c>
      <c r="CZ2842">
        <v>0</v>
      </c>
      <c r="DA2842">
        <v>0</v>
      </c>
      <c r="DB2842">
        <v>0</v>
      </c>
      <c r="DC2842">
        <v>0</v>
      </c>
      <c r="DD2842">
        <v>0</v>
      </c>
      <c r="DE2842">
        <v>0</v>
      </c>
      <c r="DF2842">
        <v>0</v>
      </c>
      <c r="DG2842">
        <v>0</v>
      </c>
      <c r="DH2842">
        <v>0</v>
      </c>
      <c r="DI2842">
        <v>0</v>
      </c>
      <c r="DJ2842">
        <v>0</v>
      </c>
      <c r="DK2842">
        <v>0</v>
      </c>
      <c r="DL2842">
        <v>0</v>
      </c>
      <c r="DM2842">
        <v>0</v>
      </c>
      <c r="DN2842">
        <v>0</v>
      </c>
      <c r="DO2842">
        <v>0</v>
      </c>
      <c r="DP2842">
        <v>0</v>
      </c>
      <c r="DQ2842">
        <v>0</v>
      </c>
      <c r="DR2842">
        <v>0</v>
      </c>
      <c r="DS2842">
        <v>0</v>
      </c>
      <c r="DT2842">
        <v>0</v>
      </c>
      <c r="DU2842">
        <v>0</v>
      </c>
      <c r="DV2842">
        <v>0</v>
      </c>
      <c r="DW2842">
        <v>0</v>
      </c>
      <c r="DX2842">
        <v>0</v>
      </c>
      <c r="DY2842">
        <v>0</v>
      </c>
    </row>
    <row r="2843" spans="1:129">
      <c r="A2843" t="s">
        <v>2436</v>
      </c>
      <c r="B2843">
        <v>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v>0</v>
      </c>
      <c r="BH2843">
        <v>0</v>
      </c>
      <c r="BI2843">
        <v>0</v>
      </c>
      <c r="BJ2843">
        <v>0</v>
      </c>
      <c r="BK2843">
        <v>0</v>
      </c>
      <c r="BL2843">
        <v>0</v>
      </c>
      <c r="BM2843">
        <v>0</v>
      </c>
      <c r="BN2843">
        <v>0</v>
      </c>
      <c r="BO2843">
        <v>0</v>
      </c>
      <c r="BP2843">
        <v>0</v>
      </c>
      <c r="BQ2843">
        <v>0</v>
      </c>
      <c r="BR2843">
        <v>0</v>
      </c>
      <c r="BS2843">
        <v>0</v>
      </c>
      <c r="BT2843">
        <v>0</v>
      </c>
      <c r="BU2843">
        <v>0</v>
      </c>
      <c r="BV2843">
        <v>0</v>
      </c>
      <c r="BW2843">
        <v>0</v>
      </c>
      <c r="BX2843">
        <v>0</v>
      </c>
      <c r="BY2843">
        <v>0</v>
      </c>
      <c r="BZ2843">
        <v>0</v>
      </c>
      <c r="CA2843">
        <v>0</v>
      </c>
      <c r="CB2843">
        <v>0</v>
      </c>
      <c r="CC2843">
        <v>0</v>
      </c>
      <c r="CD2843">
        <v>0</v>
      </c>
      <c r="CE2843">
        <v>0</v>
      </c>
      <c r="CF2843">
        <v>0</v>
      </c>
      <c r="CG2843">
        <v>0</v>
      </c>
      <c r="CH2843">
        <v>0</v>
      </c>
      <c r="CI2843">
        <v>0</v>
      </c>
      <c r="CJ2843">
        <v>0</v>
      </c>
      <c r="CK2843">
        <v>0</v>
      </c>
      <c r="CL2843">
        <v>0</v>
      </c>
      <c r="CM2843">
        <v>0</v>
      </c>
      <c r="CN2843">
        <v>0</v>
      </c>
      <c r="CO2843">
        <v>0</v>
      </c>
      <c r="CP2843">
        <v>0</v>
      </c>
      <c r="CQ2843">
        <v>0</v>
      </c>
      <c r="CR2843">
        <v>0</v>
      </c>
      <c r="CS2843">
        <v>0</v>
      </c>
      <c r="CT2843">
        <v>0</v>
      </c>
      <c r="CU2843">
        <v>0</v>
      </c>
      <c r="CV2843">
        <v>0</v>
      </c>
      <c r="CW2843">
        <v>0</v>
      </c>
      <c r="CX2843">
        <v>0</v>
      </c>
      <c r="CY2843">
        <v>0</v>
      </c>
      <c r="CZ2843">
        <v>0</v>
      </c>
      <c r="DA2843">
        <v>0</v>
      </c>
      <c r="DB2843">
        <v>0</v>
      </c>
      <c r="DC2843">
        <v>0</v>
      </c>
      <c r="DD2843">
        <v>0</v>
      </c>
      <c r="DE2843">
        <v>0</v>
      </c>
      <c r="DF2843">
        <v>0</v>
      </c>
      <c r="DG2843">
        <v>0</v>
      </c>
      <c r="DH2843">
        <v>0</v>
      </c>
      <c r="DI2843">
        <v>0</v>
      </c>
      <c r="DJ2843">
        <v>0</v>
      </c>
      <c r="DK2843">
        <v>0</v>
      </c>
      <c r="DL2843">
        <v>0</v>
      </c>
      <c r="DM2843">
        <v>0</v>
      </c>
      <c r="DN2843">
        <v>0</v>
      </c>
      <c r="DO2843">
        <v>0</v>
      </c>
      <c r="DP2843">
        <v>0</v>
      </c>
      <c r="DQ2843">
        <v>0</v>
      </c>
      <c r="DR2843">
        <v>0</v>
      </c>
      <c r="DS2843">
        <v>0</v>
      </c>
      <c r="DT2843">
        <v>0</v>
      </c>
      <c r="DU2843">
        <v>0</v>
      </c>
      <c r="DV2843">
        <v>0</v>
      </c>
      <c r="DW2843">
        <v>0</v>
      </c>
      <c r="DX2843">
        <v>0</v>
      </c>
      <c r="DY2843">
        <v>0</v>
      </c>
    </row>
    <row r="2844" spans="1:129">
      <c r="A2844" t="s">
        <v>2437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v>0</v>
      </c>
      <c r="BH2844">
        <v>0</v>
      </c>
      <c r="BI2844">
        <v>0</v>
      </c>
      <c r="BJ2844">
        <v>0</v>
      </c>
      <c r="BK2844">
        <v>0</v>
      </c>
      <c r="BL2844">
        <v>0</v>
      </c>
      <c r="BM2844">
        <v>0</v>
      </c>
      <c r="BN2844">
        <v>0</v>
      </c>
      <c r="BO2844">
        <v>0</v>
      </c>
      <c r="BP2844">
        <v>0</v>
      </c>
      <c r="BQ2844">
        <v>0</v>
      </c>
      <c r="BR2844">
        <v>0</v>
      </c>
      <c r="BS2844">
        <v>0</v>
      </c>
      <c r="BT2844">
        <v>0</v>
      </c>
      <c r="BU2844">
        <v>0</v>
      </c>
      <c r="BV2844">
        <v>0</v>
      </c>
      <c r="BW2844">
        <v>0</v>
      </c>
      <c r="BX2844">
        <v>0</v>
      </c>
      <c r="BY2844">
        <v>0</v>
      </c>
      <c r="BZ2844">
        <v>0</v>
      </c>
      <c r="CA2844">
        <v>0</v>
      </c>
      <c r="CB2844">
        <v>0</v>
      </c>
      <c r="CC2844">
        <v>0</v>
      </c>
      <c r="CD2844">
        <v>0</v>
      </c>
      <c r="CE2844">
        <v>0</v>
      </c>
      <c r="CF2844">
        <v>0</v>
      </c>
      <c r="CG2844">
        <v>0</v>
      </c>
      <c r="CH2844">
        <v>0</v>
      </c>
      <c r="CI2844">
        <v>0</v>
      </c>
      <c r="CJ2844">
        <v>0</v>
      </c>
      <c r="CK2844">
        <v>0</v>
      </c>
      <c r="CL2844">
        <v>0</v>
      </c>
      <c r="CM2844">
        <v>0</v>
      </c>
      <c r="CN2844">
        <v>0</v>
      </c>
      <c r="CO2844">
        <v>0</v>
      </c>
      <c r="CP2844">
        <v>0</v>
      </c>
      <c r="CQ2844">
        <v>0</v>
      </c>
      <c r="CR2844">
        <v>0</v>
      </c>
      <c r="CS2844">
        <v>0</v>
      </c>
      <c r="CT2844">
        <v>0</v>
      </c>
      <c r="CU2844">
        <v>0</v>
      </c>
      <c r="CV2844">
        <v>0</v>
      </c>
      <c r="CW2844">
        <v>0</v>
      </c>
      <c r="CX2844">
        <v>0</v>
      </c>
      <c r="CY2844">
        <v>0</v>
      </c>
      <c r="CZ2844">
        <v>0</v>
      </c>
      <c r="DA2844">
        <v>0</v>
      </c>
      <c r="DB2844">
        <v>0</v>
      </c>
      <c r="DC2844">
        <v>0</v>
      </c>
      <c r="DD2844">
        <v>0</v>
      </c>
      <c r="DE2844">
        <v>0</v>
      </c>
      <c r="DF2844">
        <v>0</v>
      </c>
      <c r="DG2844">
        <v>0</v>
      </c>
      <c r="DH2844">
        <v>0</v>
      </c>
      <c r="DI2844">
        <v>0</v>
      </c>
      <c r="DJ2844">
        <v>0</v>
      </c>
      <c r="DK2844">
        <v>0</v>
      </c>
      <c r="DL2844">
        <v>0</v>
      </c>
      <c r="DM2844">
        <v>0</v>
      </c>
      <c r="DN2844">
        <v>0</v>
      </c>
      <c r="DO2844">
        <v>0</v>
      </c>
      <c r="DP2844">
        <v>0</v>
      </c>
      <c r="DQ2844">
        <v>0</v>
      </c>
      <c r="DR2844">
        <v>0</v>
      </c>
      <c r="DS2844">
        <v>0</v>
      </c>
      <c r="DT2844">
        <v>0</v>
      </c>
      <c r="DU2844">
        <v>0</v>
      </c>
      <c r="DV2844">
        <v>0</v>
      </c>
      <c r="DW2844">
        <v>0</v>
      </c>
      <c r="DX2844">
        <v>0</v>
      </c>
      <c r="DY2844">
        <v>0</v>
      </c>
    </row>
    <row r="2845" spans="1:129">
      <c r="A2845" t="s">
        <v>109</v>
      </c>
      <c r="B2845" t="str">
        <f>"Off"</f>
        <v>Off</v>
      </c>
      <c r="C2845" t="str">
        <f>"On"</f>
        <v>On</v>
      </c>
      <c r="D2845" t="str">
        <f t="shared" ref="D2845:H2846" si="432">"Off"</f>
        <v>Off</v>
      </c>
      <c r="E2845" t="str">
        <f t="shared" si="432"/>
        <v>Off</v>
      </c>
      <c r="F2845" t="str">
        <f t="shared" si="432"/>
        <v>Off</v>
      </c>
      <c r="G2845" t="str">
        <f t="shared" si="432"/>
        <v>Off</v>
      </c>
      <c r="H2845" t="str">
        <f t="shared" si="432"/>
        <v>Off</v>
      </c>
      <c r="I2845" t="str">
        <f>"On"</f>
        <v>On</v>
      </c>
      <c r="J2845" t="str">
        <f t="shared" ref="J2845:P2846" si="433">"Off"</f>
        <v>Off</v>
      </c>
      <c r="K2845" t="str">
        <f t="shared" si="433"/>
        <v>Off</v>
      </c>
      <c r="L2845" t="str">
        <f t="shared" si="433"/>
        <v>Off</v>
      </c>
      <c r="M2845" t="str">
        <f t="shared" si="433"/>
        <v>Off</v>
      </c>
      <c r="N2845" t="str">
        <f t="shared" si="433"/>
        <v>Off</v>
      </c>
      <c r="O2845" t="str">
        <f t="shared" si="433"/>
        <v>Off</v>
      </c>
      <c r="P2845" t="str">
        <f t="shared" si="433"/>
        <v>Off</v>
      </c>
      <c r="Q2845" t="str">
        <f>"On"</f>
        <v>On</v>
      </c>
      <c r="R2845" t="str">
        <f t="shared" ref="R2845:V2846" si="434">"Off"</f>
        <v>Off</v>
      </c>
      <c r="S2845" t="str">
        <f t="shared" si="434"/>
        <v>Off</v>
      </c>
      <c r="T2845" t="str">
        <f t="shared" si="434"/>
        <v>Off</v>
      </c>
      <c r="U2845" t="str">
        <f t="shared" si="434"/>
        <v>Off</v>
      </c>
      <c r="V2845" t="str">
        <f t="shared" si="434"/>
        <v>Off</v>
      </c>
      <c r="W2845" t="str">
        <f>"On"</f>
        <v>On</v>
      </c>
      <c r="X2845" t="str">
        <f t="shared" ref="X2845:AG2846" si="435">"Off"</f>
        <v>Off</v>
      </c>
      <c r="Y2845" t="str">
        <f t="shared" si="435"/>
        <v>Off</v>
      </c>
      <c r="Z2845" t="str">
        <f t="shared" si="435"/>
        <v>Off</v>
      </c>
      <c r="AA2845" t="str">
        <f t="shared" si="435"/>
        <v>Off</v>
      </c>
      <c r="AB2845" t="str">
        <f t="shared" si="435"/>
        <v>Off</v>
      </c>
      <c r="AC2845" t="str">
        <f t="shared" si="435"/>
        <v>Off</v>
      </c>
      <c r="AD2845" t="str">
        <f t="shared" si="435"/>
        <v>Off</v>
      </c>
      <c r="AE2845" t="str">
        <f t="shared" si="435"/>
        <v>Off</v>
      </c>
      <c r="AF2845" t="str">
        <f t="shared" si="435"/>
        <v>Off</v>
      </c>
      <c r="AG2845" t="str">
        <f t="shared" si="435"/>
        <v>Off</v>
      </c>
      <c r="AH2845" t="str">
        <f t="shared" ref="AH2845:AO2846" si="436">"Off"</f>
        <v>Off</v>
      </c>
      <c r="AI2845" t="str">
        <f t="shared" si="436"/>
        <v>Off</v>
      </c>
      <c r="AJ2845" t="str">
        <f t="shared" si="436"/>
        <v>Off</v>
      </c>
      <c r="AK2845" t="str">
        <f t="shared" si="436"/>
        <v>Off</v>
      </c>
      <c r="AL2845" t="str">
        <f t="shared" si="436"/>
        <v>Off</v>
      </c>
      <c r="AM2845" t="str">
        <f t="shared" si="436"/>
        <v>Off</v>
      </c>
      <c r="AN2845" t="str">
        <f t="shared" si="436"/>
        <v>Off</v>
      </c>
      <c r="AO2845" t="str">
        <f t="shared" si="436"/>
        <v>Off</v>
      </c>
      <c r="AP2845" t="str">
        <f>"On"</f>
        <v>On</v>
      </c>
      <c r="AQ2845" t="str">
        <f>"On"</f>
        <v>On</v>
      </c>
      <c r="AR2845" t="str">
        <f>"On"</f>
        <v>On</v>
      </c>
      <c r="AS2845" t="str">
        <f>"On"</f>
        <v>On</v>
      </c>
      <c r="AT2845" t="str">
        <f t="shared" ref="AT2845:BC2846" si="437">"Off"</f>
        <v>Off</v>
      </c>
      <c r="AU2845" t="str">
        <f t="shared" si="437"/>
        <v>Off</v>
      </c>
      <c r="AV2845" t="str">
        <f t="shared" si="437"/>
        <v>Off</v>
      </c>
      <c r="AW2845" t="str">
        <f t="shared" si="437"/>
        <v>Off</v>
      </c>
      <c r="AX2845" t="str">
        <f t="shared" si="437"/>
        <v>Off</v>
      </c>
      <c r="AY2845" t="str">
        <f t="shared" si="437"/>
        <v>Off</v>
      </c>
      <c r="AZ2845" t="str">
        <f t="shared" si="437"/>
        <v>Off</v>
      </c>
      <c r="BA2845" t="str">
        <f t="shared" si="437"/>
        <v>Off</v>
      </c>
      <c r="BB2845" t="str">
        <f t="shared" si="437"/>
        <v>Off</v>
      </c>
      <c r="BC2845" t="str">
        <f t="shared" si="437"/>
        <v>Off</v>
      </c>
      <c r="BD2845" t="str">
        <f t="shared" ref="BD2845:BM2846" si="438">"Off"</f>
        <v>Off</v>
      </c>
      <c r="BE2845" t="str">
        <f t="shared" si="438"/>
        <v>Off</v>
      </c>
      <c r="BF2845" t="str">
        <f t="shared" si="438"/>
        <v>Off</v>
      </c>
      <c r="BG2845" t="str">
        <f t="shared" si="438"/>
        <v>Off</v>
      </c>
      <c r="BH2845" t="str">
        <f t="shared" si="438"/>
        <v>Off</v>
      </c>
      <c r="BI2845" t="str">
        <f t="shared" si="438"/>
        <v>Off</v>
      </c>
      <c r="BJ2845" t="str">
        <f t="shared" si="438"/>
        <v>Off</v>
      </c>
      <c r="BK2845" t="str">
        <f t="shared" si="438"/>
        <v>Off</v>
      </c>
      <c r="BL2845" t="str">
        <f t="shared" si="438"/>
        <v>Off</v>
      </c>
      <c r="BM2845" t="str">
        <f t="shared" si="438"/>
        <v>Off</v>
      </c>
      <c r="BN2845" t="str">
        <f t="shared" ref="BN2845:BW2846" si="439">"Off"</f>
        <v>Off</v>
      </c>
      <c r="BO2845" t="str">
        <f t="shared" si="439"/>
        <v>Off</v>
      </c>
      <c r="BP2845" t="str">
        <f t="shared" si="439"/>
        <v>Off</v>
      </c>
      <c r="BQ2845" t="str">
        <f t="shared" si="439"/>
        <v>Off</v>
      </c>
      <c r="BR2845" t="str">
        <f t="shared" si="439"/>
        <v>Off</v>
      </c>
      <c r="BS2845" t="str">
        <f t="shared" si="439"/>
        <v>Off</v>
      </c>
      <c r="BT2845" t="str">
        <f t="shared" si="439"/>
        <v>Off</v>
      </c>
      <c r="BU2845" t="str">
        <f t="shared" si="439"/>
        <v>Off</v>
      </c>
      <c r="BV2845" t="str">
        <f t="shared" si="439"/>
        <v>Off</v>
      </c>
      <c r="BW2845" t="str">
        <f t="shared" si="439"/>
        <v>Off</v>
      </c>
      <c r="BX2845" t="str">
        <f t="shared" ref="BX2845:CG2846" si="440">"Off"</f>
        <v>Off</v>
      </c>
      <c r="BY2845" t="str">
        <f t="shared" si="440"/>
        <v>Off</v>
      </c>
      <c r="BZ2845" t="str">
        <f t="shared" si="440"/>
        <v>Off</v>
      </c>
      <c r="CA2845" t="str">
        <f t="shared" si="440"/>
        <v>Off</v>
      </c>
      <c r="CB2845" t="str">
        <f t="shared" si="440"/>
        <v>Off</v>
      </c>
      <c r="CC2845" t="str">
        <f t="shared" si="440"/>
        <v>Off</v>
      </c>
      <c r="CD2845" t="str">
        <f t="shared" si="440"/>
        <v>Off</v>
      </c>
      <c r="CE2845" t="str">
        <f t="shared" si="440"/>
        <v>Off</v>
      </c>
      <c r="CF2845" t="str">
        <f t="shared" si="440"/>
        <v>Off</v>
      </c>
      <c r="CG2845" t="str">
        <f t="shared" si="440"/>
        <v>Off</v>
      </c>
      <c r="CH2845" t="str">
        <f t="shared" ref="CH2845:CQ2846" si="441">"Off"</f>
        <v>Off</v>
      </c>
      <c r="CI2845" t="str">
        <f t="shared" si="441"/>
        <v>Off</v>
      </c>
      <c r="CJ2845" t="str">
        <f t="shared" si="441"/>
        <v>Off</v>
      </c>
      <c r="CK2845" t="str">
        <f t="shared" si="441"/>
        <v>Off</v>
      </c>
      <c r="CL2845" t="str">
        <f t="shared" si="441"/>
        <v>Off</v>
      </c>
      <c r="CM2845" t="str">
        <f t="shared" si="441"/>
        <v>Off</v>
      </c>
      <c r="CN2845" t="str">
        <f t="shared" si="441"/>
        <v>Off</v>
      </c>
      <c r="CO2845" t="str">
        <f t="shared" si="441"/>
        <v>Off</v>
      </c>
      <c r="CP2845" t="str">
        <f t="shared" si="441"/>
        <v>Off</v>
      </c>
      <c r="CQ2845" t="str">
        <f t="shared" si="441"/>
        <v>Off</v>
      </c>
      <c r="CR2845" t="str">
        <f t="shared" ref="CR2845:DA2846" si="442">"Off"</f>
        <v>Off</v>
      </c>
      <c r="CS2845" t="str">
        <f t="shared" si="442"/>
        <v>Off</v>
      </c>
      <c r="CT2845" t="str">
        <f t="shared" si="442"/>
        <v>Off</v>
      </c>
      <c r="CU2845" t="str">
        <f t="shared" si="442"/>
        <v>Off</v>
      </c>
      <c r="CV2845" t="str">
        <f t="shared" si="442"/>
        <v>Off</v>
      </c>
      <c r="CW2845" t="str">
        <f t="shared" si="442"/>
        <v>Off</v>
      </c>
      <c r="CX2845" t="str">
        <f t="shared" si="442"/>
        <v>Off</v>
      </c>
      <c r="CY2845" t="str">
        <f t="shared" si="442"/>
        <v>Off</v>
      </c>
      <c r="CZ2845" t="str">
        <f t="shared" si="442"/>
        <v>Off</v>
      </c>
      <c r="DA2845" t="str">
        <f t="shared" si="442"/>
        <v>Off</v>
      </c>
      <c r="DB2845" t="str">
        <f t="shared" ref="DB2845:DK2846" si="443">"Off"</f>
        <v>Off</v>
      </c>
      <c r="DC2845" t="str">
        <f t="shared" si="443"/>
        <v>Off</v>
      </c>
      <c r="DD2845" t="str">
        <f t="shared" si="443"/>
        <v>Off</v>
      </c>
      <c r="DE2845" t="str">
        <f t="shared" si="443"/>
        <v>Off</v>
      </c>
      <c r="DF2845" t="str">
        <f t="shared" si="443"/>
        <v>Off</v>
      </c>
      <c r="DG2845" t="str">
        <f t="shared" si="443"/>
        <v>Off</v>
      </c>
      <c r="DH2845" t="str">
        <f t="shared" si="443"/>
        <v>Off</v>
      </c>
      <c r="DI2845" t="str">
        <f t="shared" si="443"/>
        <v>Off</v>
      </c>
      <c r="DJ2845" t="str">
        <f t="shared" si="443"/>
        <v>Off</v>
      </c>
      <c r="DK2845" t="str">
        <f t="shared" si="443"/>
        <v>Off</v>
      </c>
      <c r="DL2845" t="str">
        <f t="shared" ref="DL2845:DY2846" si="444">"Off"</f>
        <v>Off</v>
      </c>
      <c r="DM2845" t="str">
        <f t="shared" si="444"/>
        <v>Off</v>
      </c>
      <c r="DN2845" t="str">
        <f t="shared" si="444"/>
        <v>Off</v>
      </c>
      <c r="DO2845" t="str">
        <f t="shared" si="444"/>
        <v>Off</v>
      </c>
      <c r="DP2845" t="str">
        <f t="shared" si="444"/>
        <v>Off</v>
      </c>
      <c r="DQ2845" t="str">
        <f t="shared" si="444"/>
        <v>Off</v>
      </c>
      <c r="DR2845" t="str">
        <f t="shared" si="444"/>
        <v>Off</v>
      </c>
      <c r="DS2845" t="str">
        <f t="shared" si="444"/>
        <v>Off</v>
      </c>
      <c r="DT2845" t="str">
        <f t="shared" si="444"/>
        <v>Off</v>
      </c>
      <c r="DU2845" t="str">
        <f t="shared" si="444"/>
        <v>Off</v>
      </c>
      <c r="DV2845" t="str">
        <f t="shared" si="444"/>
        <v>Off</v>
      </c>
      <c r="DW2845" t="str">
        <f t="shared" si="444"/>
        <v>Off</v>
      </c>
      <c r="DX2845" t="str">
        <f t="shared" si="444"/>
        <v>Off</v>
      </c>
      <c r="DY2845" t="str">
        <f t="shared" si="444"/>
        <v>Off</v>
      </c>
    </row>
    <row r="2846" spans="1:129">
      <c r="A2846" t="s">
        <v>3597</v>
      </c>
      <c r="B2846" t="str">
        <f>"Off"</f>
        <v>Off</v>
      </c>
      <c r="C2846" t="str">
        <f>"Off"</f>
        <v>Off</v>
      </c>
      <c r="D2846" t="str">
        <f t="shared" si="432"/>
        <v>Off</v>
      </c>
      <c r="E2846" t="str">
        <f t="shared" si="432"/>
        <v>Off</v>
      </c>
      <c r="F2846" t="str">
        <f t="shared" si="432"/>
        <v>Off</v>
      </c>
      <c r="G2846" t="str">
        <f t="shared" si="432"/>
        <v>Off</v>
      </c>
      <c r="H2846" t="str">
        <f t="shared" si="432"/>
        <v>Off</v>
      </c>
      <c r="I2846" t="str">
        <f>"Off"</f>
        <v>Off</v>
      </c>
      <c r="J2846" t="str">
        <f t="shared" si="433"/>
        <v>Off</v>
      </c>
      <c r="K2846" t="str">
        <f t="shared" si="433"/>
        <v>Off</v>
      </c>
      <c r="L2846" t="str">
        <f t="shared" si="433"/>
        <v>Off</v>
      </c>
      <c r="M2846" t="str">
        <f t="shared" si="433"/>
        <v>Off</v>
      </c>
      <c r="N2846" t="str">
        <f t="shared" si="433"/>
        <v>Off</v>
      </c>
      <c r="O2846" t="str">
        <f t="shared" si="433"/>
        <v>Off</v>
      </c>
      <c r="P2846" t="str">
        <f t="shared" si="433"/>
        <v>Off</v>
      </c>
      <c r="Q2846" t="str">
        <f>"Off"</f>
        <v>Off</v>
      </c>
      <c r="R2846" t="str">
        <f t="shared" si="434"/>
        <v>Off</v>
      </c>
      <c r="S2846" t="str">
        <f t="shared" si="434"/>
        <v>Off</v>
      </c>
      <c r="T2846" t="str">
        <f t="shared" si="434"/>
        <v>Off</v>
      </c>
      <c r="U2846" t="str">
        <f t="shared" si="434"/>
        <v>Off</v>
      </c>
      <c r="V2846" t="str">
        <f t="shared" si="434"/>
        <v>Off</v>
      </c>
      <c r="W2846" t="str">
        <f>"Off"</f>
        <v>Off</v>
      </c>
      <c r="X2846" t="str">
        <f t="shared" si="435"/>
        <v>Off</v>
      </c>
      <c r="Y2846" t="str">
        <f t="shared" si="435"/>
        <v>Off</v>
      </c>
      <c r="Z2846" t="str">
        <f t="shared" si="435"/>
        <v>Off</v>
      </c>
      <c r="AA2846" t="str">
        <f t="shared" si="435"/>
        <v>Off</v>
      </c>
      <c r="AB2846" t="str">
        <f t="shared" si="435"/>
        <v>Off</v>
      </c>
      <c r="AC2846" t="str">
        <f t="shared" si="435"/>
        <v>Off</v>
      </c>
      <c r="AD2846" t="str">
        <f t="shared" si="435"/>
        <v>Off</v>
      </c>
      <c r="AE2846" t="str">
        <f t="shared" si="435"/>
        <v>Off</v>
      </c>
      <c r="AF2846" t="str">
        <f t="shared" si="435"/>
        <v>Off</v>
      </c>
      <c r="AG2846" t="str">
        <f t="shared" si="435"/>
        <v>Off</v>
      </c>
      <c r="AH2846" t="str">
        <f t="shared" si="436"/>
        <v>Off</v>
      </c>
      <c r="AI2846" t="str">
        <f t="shared" si="436"/>
        <v>Off</v>
      </c>
      <c r="AJ2846" t="str">
        <f t="shared" si="436"/>
        <v>Off</v>
      </c>
      <c r="AK2846" t="str">
        <f t="shared" si="436"/>
        <v>Off</v>
      </c>
      <c r="AL2846" t="str">
        <f t="shared" si="436"/>
        <v>Off</v>
      </c>
      <c r="AM2846" t="str">
        <f t="shared" si="436"/>
        <v>Off</v>
      </c>
      <c r="AN2846" t="str">
        <f t="shared" si="436"/>
        <v>Off</v>
      </c>
      <c r="AO2846" t="str">
        <f t="shared" si="436"/>
        <v>Off</v>
      </c>
      <c r="AP2846" t="str">
        <f>"Off"</f>
        <v>Off</v>
      </c>
      <c r="AQ2846" t="str">
        <f>"Off"</f>
        <v>Off</v>
      </c>
      <c r="AR2846" t="str">
        <f>"Off"</f>
        <v>Off</v>
      </c>
      <c r="AS2846" t="str">
        <f>"Off"</f>
        <v>Off</v>
      </c>
      <c r="AT2846" t="str">
        <f t="shared" si="437"/>
        <v>Off</v>
      </c>
      <c r="AU2846" t="str">
        <f t="shared" si="437"/>
        <v>Off</v>
      </c>
      <c r="AV2846" t="str">
        <f t="shared" si="437"/>
        <v>Off</v>
      </c>
      <c r="AW2846" t="str">
        <f t="shared" si="437"/>
        <v>Off</v>
      </c>
      <c r="AX2846" t="str">
        <f t="shared" si="437"/>
        <v>Off</v>
      </c>
      <c r="AY2846" t="str">
        <f t="shared" si="437"/>
        <v>Off</v>
      </c>
      <c r="AZ2846" t="str">
        <f t="shared" si="437"/>
        <v>Off</v>
      </c>
      <c r="BA2846" t="str">
        <f t="shared" si="437"/>
        <v>Off</v>
      </c>
      <c r="BB2846" t="str">
        <f t="shared" si="437"/>
        <v>Off</v>
      </c>
      <c r="BC2846" t="str">
        <f t="shared" si="437"/>
        <v>Off</v>
      </c>
      <c r="BD2846" t="str">
        <f t="shared" si="438"/>
        <v>Off</v>
      </c>
      <c r="BE2846" t="str">
        <f t="shared" si="438"/>
        <v>Off</v>
      </c>
      <c r="BF2846" t="str">
        <f t="shared" si="438"/>
        <v>Off</v>
      </c>
      <c r="BG2846" t="str">
        <f t="shared" si="438"/>
        <v>Off</v>
      </c>
      <c r="BH2846" t="str">
        <f t="shared" si="438"/>
        <v>Off</v>
      </c>
      <c r="BI2846" t="str">
        <f t="shared" si="438"/>
        <v>Off</v>
      </c>
      <c r="BJ2846" t="str">
        <f t="shared" si="438"/>
        <v>Off</v>
      </c>
      <c r="BK2846" t="str">
        <f t="shared" si="438"/>
        <v>Off</v>
      </c>
      <c r="BL2846" t="str">
        <f t="shared" si="438"/>
        <v>Off</v>
      </c>
      <c r="BM2846" t="str">
        <f t="shared" si="438"/>
        <v>Off</v>
      </c>
      <c r="BN2846" t="str">
        <f t="shared" si="439"/>
        <v>Off</v>
      </c>
      <c r="BO2846" t="str">
        <f t="shared" si="439"/>
        <v>Off</v>
      </c>
      <c r="BP2846" t="str">
        <f t="shared" si="439"/>
        <v>Off</v>
      </c>
      <c r="BQ2846" t="str">
        <f t="shared" si="439"/>
        <v>Off</v>
      </c>
      <c r="BR2846" t="str">
        <f t="shared" si="439"/>
        <v>Off</v>
      </c>
      <c r="BS2846" t="str">
        <f t="shared" si="439"/>
        <v>Off</v>
      </c>
      <c r="BT2846" t="str">
        <f t="shared" si="439"/>
        <v>Off</v>
      </c>
      <c r="BU2846" t="str">
        <f t="shared" si="439"/>
        <v>Off</v>
      </c>
      <c r="BV2846" t="str">
        <f t="shared" si="439"/>
        <v>Off</v>
      </c>
      <c r="BW2846" t="str">
        <f t="shared" si="439"/>
        <v>Off</v>
      </c>
      <c r="BX2846" t="str">
        <f t="shared" si="440"/>
        <v>Off</v>
      </c>
      <c r="BY2846" t="str">
        <f t="shared" si="440"/>
        <v>Off</v>
      </c>
      <c r="BZ2846" t="str">
        <f t="shared" si="440"/>
        <v>Off</v>
      </c>
      <c r="CA2846" t="str">
        <f t="shared" si="440"/>
        <v>Off</v>
      </c>
      <c r="CB2846" t="str">
        <f t="shared" si="440"/>
        <v>Off</v>
      </c>
      <c r="CC2846" t="str">
        <f t="shared" si="440"/>
        <v>Off</v>
      </c>
      <c r="CD2846" t="str">
        <f t="shared" si="440"/>
        <v>Off</v>
      </c>
      <c r="CE2846" t="str">
        <f t="shared" si="440"/>
        <v>Off</v>
      </c>
      <c r="CF2846" t="str">
        <f t="shared" si="440"/>
        <v>Off</v>
      </c>
      <c r="CG2846" t="str">
        <f t="shared" si="440"/>
        <v>Off</v>
      </c>
      <c r="CH2846" t="str">
        <f t="shared" si="441"/>
        <v>Off</v>
      </c>
      <c r="CI2846" t="str">
        <f t="shared" si="441"/>
        <v>Off</v>
      </c>
      <c r="CJ2846" t="str">
        <f t="shared" si="441"/>
        <v>Off</v>
      </c>
      <c r="CK2846" t="str">
        <f t="shared" si="441"/>
        <v>Off</v>
      </c>
      <c r="CL2846" t="str">
        <f t="shared" si="441"/>
        <v>Off</v>
      </c>
      <c r="CM2846" t="str">
        <f t="shared" si="441"/>
        <v>Off</v>
      </c>
      <c r="CN2846" t="str">
        <f t="shared" si="441"/>
        <v>Off</v>
      </c>
      <c r="CO2846" t="str">
        <f t="shared" si="441"/>
        <v>Off</v>
      </c>
      <c r="CP2846" t="str">
        <f t="shared" si="441"/>
        <v>Off</v>
      </c>
      <c r="CQ2846" t="str">
        <f t="shared" si="441"/>
        <v>Off</v>
      </c>
      <c r="CR2846" t="str">
        <f t="shared" si="442"/>
        <v>Off</v>
      </c>
      <c r="CS2846" t="str">
        <f t="shared" si="442"/>
        <v>Off</v>
      </c>
      <c r="CT2846" t="str">
        <f t="shared" si="442"/>
        <v>Off</v>
      </c>
      <c r="CU2846" t="str">
        <f t="shared" si="442"/>
        <v>Off</v>
      </c>
      <c r="CV2846" t="str">
        <f t="shared" si="442"/>
        <v>Off</v>
      </c>
      <c r="CW2846" t="str">
        <f t="shared" si="442"/>
        <v>Off</v>
      </c>
      <c r="CX2846" t="str">
        <f t="shared" si="442"/>
        <v>Off</v>
      </c>
      <c r="CY2846" t="str">
        <f t="shared" si="442"/>
        <v>Off</v>
      </c>
      <c r="CZ2846" t="str">
        <f t="shared" si="442"/>
        <v>Off</v>
      </c>
      <c r="DA2846" t="str">
        <f t="shared" si="442"/>
        <v>Off</v>
      </c>
      <c r="DB2846" t="str">
        <f t="shared" si="443"/>
        <v>Off</v>
      </c>
      <c r="DC2846" t="str">
        <f t="shared" si="443"/>
        <v>Off</v>
      </c>
      <c r="DD2846" t="str">
        <f t="shared" si="443"/>
        <v>Off</v>
      </c>
      <c r="DE2846" t="str">
        <f t="shared" si="443"/>
        <v>Off</v>
      </c>
      <c r="DF2846" t="str">
        <f t="shared" si="443"/>
        <v>Off</v>
      </c>
      <c r="DG2846" t="str">
        <f t="shared" si="443"/>
        <v>Off</v>
      </c>
      <c r="DH2846" t="str">
        <f t="shared" si="443"/>
        <v>Off</v>
      </c>
      <c r="DI2846" t="str">
        <f t="shared" si="443"/>
        <v>Off</v>
      </c>
      <c r="DJ2846" t="str">
        <f t="shared" si="443"/>
        <v>Off</v>
      </c>
      <c r="DK2846" t="str">
        <f t="shared" si="443"/>
        <v>Off</v>
      </c>
      <c r="DL2846" t="str">
        <f t="shared" si="444"/>
        <v>Off</v>
      </c>
      <c r="DM2846" t="str">
        <f t="shared" si="444"/>
        <v>Off</v>
      </c>
      <c r="DN2846" t="str">
        <f t="shared" si="444"/>
        <v>Off</v>
      </c>
      <c r="DO2846" t="str">
        <f t="shared" si="444"/>
        <v>Off</v>
      </c>
      <c r="DP2846" t="str">
        <f t="shared" si="444"/>
        <v>Off</v>
      </c>
      <c r="DQ2846" t="str">
        <f t="shared" si="444"/>
        <v>Off</v>
      </c>
      <c r="DR2846" t="str">
        <f t="shared" si="444"/>
        <v>Off</v>
      </c>
      <c r="DS2846" t="str">
        <f t="shared" si="444"/>
        <v>Off</v>
      </c>
      <c r="DT2846" t="str">
        <f t="shared" si="444"/>
        <v>Off</v>
      </c>
      <c r="DU2846" t="str">
        <f t="shared" si="444"/>
        <v>Off</v>
      </c>
      <c r="DV2846" t="str">
        <f t="shared" si="444"/>
        <v>Off</v>
      </c>
      <c r="DW2846" t="str">
        <f t="shared" si="444"/>
        <v>Off</v>
      </c>
      <c r="DX2846" t="str">
        <f t="shared" si="444"/>
        <v>Off</v>
      </c>
      <c r="DY2846" t="str">
        <f t="shared" si="444"/>
        <v>Off</v>
      </c>
    </row>
    <row r="2847" spans="1:129">
      <c r="A2847" t="s">
        <v>3598</v>
      </c>
      <c r="B2847">
        <v>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v>0</v>
      </c>
      <c r="BH2847">
        <v>0</v>
      </c>
      <c r="BI2847">
        <v>0</v>
      </c>
      <c r="BJ2847">
        <v>0</v>
      </c>
      <c r="BK2847">
        <v>0</v>
      </c>
      <c r="BL2847">
        <v>0</v>
      </c>
      <c r="BM2847">
        <v>0</v>
      </c>
      <c r="BN2847">
        <v>0</v>
      </c>
      <c r="BO2847">
        <v>0</v>
      </c>
      <c r="BP2847">
        <v>0</v>
      </c>
      <c r="BQ2847">
        <v>0</v>
      </c>
      <c r="BR2847">
        <v>0</v>
      </c>
      <c r="BS2847">
        <v>0</v>
      </c>
      <c r="BT2847">
        <v>0</v>
      </c>
      <c r="BU2847">
        <v>0</v>
      </c>
      <c r="BV2847">
        <v>0</v>
      </c>
      <c r="BW2847">
        <v>0</v>
      </c>
      <c r="BX2847">
        <v>0</v>
      </c>
      <c r="BY2847">
        <v>0</v>
      </c>
      <c r="BZ2847">
        <v>0</v>
      </c>
      <c r="CA2847">
        <v>0</v>
      </c>
      <c r="CB2847">
        <v>0</v>
      </c>
      <c r="CC2847">
        <v>0</v>
      </c>
      <c r="CD2847">
        <v>0</v>
      </c>
      <c r="CE2847">
        <v>0</v>
      </c>
      <c r="CF2847">
        <v>0</v>
      </c>
      <c r="CG2847">
        <v>0</v>
      </c>
      <c r="CH2847">
        <v>0</v>
      </c>
      <c r="CI2847">
        <v>0</v>
      </c>
      <c r="CJ2847">
        <v>0</v>
      </c>
      <c r="CK2847">
        <v>0</v>
      </c>
      <c r="CL2847">
        <v>0</v>
      </c>
      <c r="CM2847">
        <v>0</v>
      </c>
      <c r="CN2847">
        <v>0</v>
      </c>
      <c r="CO2847">
        <v>0</v>
      </c>
      <c r="CP2847">
        <v>0</v>
      </c>
      <c r="CQ2847">
        <v>0</v>
      </c>
      <c r="CR2847">
        <v>0</v>
      </c>
      <c r="CS2847">
        <v>0</v>
      </c>
      <c r="CT2847">
        <v>0</v>
      </c>
      <c r="CU2847">
        <v>0</v>
      </c>
      <c r="CV2847">
        <v>0</v>
      </c>
      <c r="CW2847">
        <v>0</v>
      </c>
      <c r="CX2847">
        <v>0</v>
      </c>
      <c r="CY2847">
        <v>0</v>
      </c>
      <c r="CZ2847">
        <v>0</v>
      </c>
      <c r="DA2847">
        <v>0</v>
      </c>
      <c r="DB2847">
        <v>0</v>
      </c>
      <c r="DC2847">
        <v>0</v>
      </c>
      <c r="DD2847">
        <v>0</v>
      </c>
      <c r="DE2847">
        <v>0</v>
      </c>
      <c r="DF2847">
        <v>0</v>
      </c>
      <c r="DG2847">
        <v>0</v>
      </c>
      <c r="DH2847">
        <v>0</v>
      </c>
      <c r="DI2847">
        <v>0</v>
      </c>
      <c r="DJ2847">
        <v>0</v>
      </c>
      <c r="DK2847">
        <v>0</v>
      </c>
      <c r="DL2847">
        <v>0</v>
      </c>
      <c r="DM2847">
        <v>0</v>
      </c>
      <c r="DN2847">
        <v>0</v>
      </c>
      <c r="DO2847">
        <v>0</v>
      </c>
      <c r="DP2847">
        <v>0</v>
      </c>
      <c r="DQ2847">
        <v>0</v>
      </c>
      <c r="DR2847">
        <v>0</v>
      </c>
      <c r="DS2847">
        <v>0</v>
      </c>
      <c r="DT2847">
        <v>0</v>
      </c>
      <c r="DU2847">
        <v>0</v>
      </c>
      <c r="DV2847">
        <v>0</v>
      </c>
      <c r="DW2847">
        <v>0</v>
      </c>
      <c r="DX2847">
        <v>0</v>
      </c>
      <c r="DY2847">
        <v>0</v>
      </c>
    </row>
    <row r="2848" spans="1:129">
      <c r="A2848" t="s">
        <v>3599</v>
      </c>
      <c r="B2848" t="str">
        <f t="shared" ref="B2848:AG2848" si="445">"Off"</f>
        <v>Off</v>
      </c>
      <c r="C2848" t="str">
        <f t="shared" si="445"/>
        <v>Off</v>
      </c>
      <c r="D2848" t="str">
        <f t="shared" si="445"/>
        <v>Off</v>
      </c>
      <c r="E2848" t="str">
        <f t="shared" si="445"/>
        <v>Off</v>
      </c>
      <c r="F2848" t="str">
        <f t="shared" si="445"/>
        <v>Off</v>
      </c>
      <c r="G2848" t="str">
        <f t="shared" si="445"/>
        <v>Off</v>
      </c>
      <c r="H2848" t="str">
        <f t="shared" si="445"/>
        <v>Off</v>
      </c>
      <c r="I2848" t="str">
        <f t="shared" si="445"/>
        <v>Off</v>
      </c>
      <c r="J2848" t="str">
        <f t="shared" si="445"/>
        <v>Off</v>
      </c>
      <c r="K2848" t="str">
        <f t="shared" si="445"/>
        <v>Off</v>
      </c>
      <c r="L2848" t="str">
        <f t="shared" si="445"/>
        <v>Off</v>
      </c>
      <c r="M2848" t="str">
        <f t="shared" si="445"/>
        <v>Off</v>
      </c>
      <c r="N2848" t="str">
        <f t="shared" si="445"/>
        <v>Off</v>
      </c>
      <c r="O2848" t="str">
        <f t="shared" si="445"/>
        <v>Off</v>
      </c>
      <c r="P2848" t="str">
        <f t="shared" si="445"/>
        <v>Off</v>
      </c>
      <c r="Q2848" t="str">
        <f t="shared" si="445"/>
        <v>Off</v>
      </c>
      <c r="R2848" t="str">
        <f t="shared" si="445"/>
        <v>Off</v>
      </c>
      <c r="S2848" t="str">
        <f t="shared" si="445"/>
        <v>Off</v>
      </c>
      <c r="T2848" t="str">
        <f t="shared" si="445"/>
        <v>Off</v>
      </c>
      <c r="U2848" t="str">
        <f t="shared" si="445"/>
        <v>Off</v>
      </c>
      <c r="V2848" t="str">
        <f t="shared" si="445"/>
        <v>Off</v>
      </c>
      <c r="W2848" t="str">
        <f t="shared" si="445"/>
        <v>Off</v>
      </c>
      <c r="X2848" t="str">
        <f t="shared" si="445"/>
        <v>Off</v>
      </c>
      <c r="Y2848" t="str">
        <f t="shared" si="445"/>
        <v>Off</v>
      </c>
      <c r="Z2848" t="str">
        <f t="shared" si="445"/>
        <v>Off</v>
      </c>
      <c r="AA2848" t="str">
        <f t="shared" si="445"/>
        <v>Off</v>
      </c>
      <c r="AB2848" t="str">
        <f t="shared" si="445"/>
        <v>Off</v>
      </c>
      <c r="AC2848" t="str">
        <f t="shared" si="445"/>
        <v>Off</v>
      </c>
      <c r="AD2848" t="str">
        <f t="shared" si="445"/>
        <v>Off</v>
      </c>
      <c r="AE2848" t="str">
        <f t="shared" si="445"/>
        <v>Off</v>
      </c>
      <c r="AF2848" t="str">
        <f t="shared" si="445"/>
        <v>Off</v>
      </c>
      <c r="AG2848" t="str">
        <f t="shared" si="445"/>
        <v>Off</v>
      </c>
      <c r="AH2848" t="str">
        <f t="shared" ref="AH2848:BM2848" si="446">"Off"</f>
        <v>Off</v>
      </c>
      <c r="AI2848" t="str">
        <f t="shared" si="446"/>
        <v>Off</v>
      </c>
      <c r="AJ2848" t="str">
        <f t="shared" si="446"/>
        <v>Off</v>
      </c>
      <c r="AK2848" t="str">
        <f t="shared" si="446"/>
        <v>Off</v>
      </c>
      <c r="AL2848" t="str">
        <f t="shared" si="446"/>
        <v>Off</v>
      </c>
      <c r="AM2848" t="str">
        <f t="shared" si="446"/>
        <v>Off</v>
      </c>
      <c r="AN2848" t="str">
        <f t="shared" si="446"/>
        <v>Off</v>
      </c>
      <c r="AO2848" t="str">
        <f t="shared" si="446"/>
        <v>Off</v>
      </c>
      <c r="AP2848" t="str">
        <f t="shared" si="446"/>
        <v>Off</v>
      </c>
      <c r="AQ2848" t="str">
        <f t="shared" si="446"/>
        <v>Off</v>
      </c>
      <c r="AR2848" t="str">
        <f t="shared" si="446"/>
        <v>Off</v>
      </c>
      <c r="AS2848" t="str">
        <f t="shared" si="446"/>
        <v>Off</v>
      </c>
      <c r="AT2848" t="str">
        <f t="shared" si="446"/>
        <v>Off</v>
      </c>
      <c r="AU2848" t="str">
        <f t="shared" si="446"/>
        <v>Off</v>
      </c>
      <c r="AV2848" t="str">
        <f t="shared" si="446"/>
        <v>Off</v>
      </c>
      <c r="AW2848" t="str">
        <f t="shared" si="446"/>
        <v>Off</v>
      </c>
      <c r="AX2848" t="str">
        <f t="shared" si="446"/>
        <v>Off</v>
      </c>
      <c r="AY2848" t="str">
        <f t="shared" si="446"/>
        <v>Off</v>
      </c>
      <c r="AZ2848" t="str">
        <f t="shared" si="446"/>
        <v>Off</v>
      </c>
      <c r="BA2848" t="str">
        <f t="shared" si="446"/>
        <v>Off</v>
      </c>
      <c r="BB2848" t="str">
        <f t="shared" si="446"/>
        <v>Off</v>
      </c>
      <c r="BC2848" t="str">
        <f t="shared" si="446"/>
        <v>Off</v>
      </c>
      <c r="BD2848" t="str">
        <f t="shared" si="446"/>
        <v>Off</v>
      </c>
      <c r="BE2848" t="str">
        <f t="shared" si="446"/>
        <v>Off</v>
      </c>
      <c r="BF2848" t="str">
        <f t="shared" si="446"/>
        <v>Off</v>
      </c>
      <c r="BG2848" t="str">
        <f t="shared" si="446"/>
        <v>Off</v>
      </c>
      <c r="BH2848" t="str">
        <f t="shared" si="446"/>
        <v>Off</v>
      </c>
      <c r="BI2848" t="str">
        <f t="shared" si="446"/>
        <v>Off</v>
      </c>
      <c r="BJ2848" t="str">
        <f t="shared" si="446"/>
        <v>Off</v>
      </c>
      <c r="BK2848" t="str">
        <f t="shared" si="446"/>
        <v>Off</v>
      </c>
      <c r="BL2848" t="str">
        <f t="shared" si="446"/>
        <v>Off</v>
      </c>
      <c r="BM2848" t="str">
        <f t="shared" si="446"/>
        <v>Off</v>
      </c>
      <c r="BN2848" t="str">
        <f t="shared" ref="BN2848:CS2848" si="447">"Off"</f>
        <v>Off</v>
      </c>
      <c r="BO2848" t="str">
        <f t="shared" si="447"/>
        <v>Off</v>
      </c>
      <c r="BP2848" t="str">
        <f t="shared" si="447"/>
        <v>Off</v>
      </c>
      <c r="BQ2848" t="str">
        <f t="shared" si="447"/>
        <v>Off</v>
      </c>
      <c r="BR2848" t="str">
        <f t="shared" si="447"/>
        <v>Off</v>
      </c>
      <c r="BS2848" t="str">
        <f t="shared" si="447"/>
        <v>Off</v>
      </c>
      <c r="BT2848" t="str">
        <f t="shared" si="447"/>
        <v>Off</v>
      </c>
      <c r="BU2848" t="str">
        <f t="shared" si="447"/>
        <v>Off</v>
      </c>
      <c r="BV2848" t="str">
        <f t="shared" si="447"/>
        <v>Off</v>
      </c>
      <c r="BW2848" t="str">
        <f t="shared" si="447"/>
        <v>Off</v>
      </c>
      <c r="BX2848" t="str">
        <f t="shared" si="447"/>
        <v>Off</v>
      </c>
      <c r="BY2848" t="str">
        <f t="shared" si="447"/>
        <v>Off</v>
      </c>
      <c r="BZ2848" t="str">
        <f t="shared" si="447"/>
        <v>Off</v>
      </c>
      <c r="CA2848" t="str">
        <f t="shared" si="447"/>
        <v>Off</v>
      </c>
      <c r="CB2848" t="str">
        <f t="shared" si="447"/>
        <v>Off</v>
      </c>
      <c r="CC2848" t="str">
        <f t="shared" si="447"/>
        <v>Off</v>
      </c>
      <c r="CD2848" t="str">
        <f t="shared" si="447"/>
        <v>Off</v>
      </c>
      <c r="CE2848" t="str">
        <f t="shared" si="447"/>
        <v>Off</v>
      </c>
      <c r="CF2848" t="str">
        <f t="shared" si="447"/>
        <v>Off</v>
      </c>
      <c r="CG2848" t="str">
        <f t="shared" si="447"/>
        <v>Off</v>
      </c>
      <c r="CH2848" t="str">
        <f t="shared" si="447"/>
        <v>Off</v>
      </c>
      <c r="CI2848" t="str">
        <f t="shared" si="447"/>
        <v>Off</v>
      </c>
      <c r="CJ2848" t="str">
        <f t="shared" si="447"/>
        <v>Off</v>
      </c>
      <c r="CK2848" t="str">
        <f t="shared" si="447"/>
        <v>Off</v>
      </c>
      <c r="CL2848" t="str">
        <f t="shared" si="447"/>
        <v>Off</v>
      </c>
      <c r="CM2848" t="str">
        <f t="shared" si="447"/>
        <v>Off</v>
      </c>
      <c r="CN2848" t="str">
        <f t="shared" si="447"/>
        <v>Off</v>
      </c>
      <c r="CO2848" t="str">
        <f t="shared" si="447"/>
        <v>Off</v>
      </c>
      <c r="CP2848" t="str">
        <f t="shared" si="447"/>
        <v>Off</v>
      </c>
      <c r="CQ2848" t="str">
        <f t="shared" si="447"/>
        <v>Off</v>
      </c>
      <c r="CR2848" t="str">
        <f t="shared" si="447"/>
        <v>Off</v>
      </c>
      <c r="CS2848" t="str">
        <f t="shared" si="447"/>
        <v>Off</v>
      </c>
      <c r="CT2848" t="str">
        <f t="shared" ref="CT2848:DY2848" si="448">"Off"</f>
        <v>Off</v>
      </c>
      <c r="CU2848" t="str">
        <f t="shared" si="448"/>
        <v>Off</v>
      </c>
      <c r="CV2848" t="str">
        <f t="shared" si="448"/>
        <v>Off</v>
      </c>
      <c r="CW2848" t="str">
        <f t="shared" si="448"/>
        <v>Off</v>
      </c>
      <c r="CX2848" t="str">
        <f t="shared" si="448"/>
        <v>Off</v>
      </c>
      <c r="CY2848" t="str">
        <f t="shared" si="448"/>
        <v>Off</v>
      </c>
      <c r="CZ2848" t="str">
        <f t="shared" si="448"/>
        <v>Off</v>
      </c>
      <c r="DA2848" t="str">
        <f t="shared" si="448"/>
        <v>Off</v>
      </c>
      <c r="DB2848" t="str">
        <f t="shared" si="448"/>
        <v>Off</v>
      </c>
      <c r="DC2848" t="str">
        <f t="shared" si="448"/>
        <v>Off</v>
      </c>
      <c r="DD2848" t="str">
        <f t="shared" si="448"/>
        <v>Off</v>
      </c>
      <c r="DE2848" t="str">
        <f t="shared" si="448"/>
        <v>Off</v>
      </c>
      <c r="DF2848" t="str">
        <f t="shared" si="448"/>
        <v>Off</v>
      </c>
      <c r="DG2848" t="str">
        <f t="shared" si="448"/>
        <v>Off</v>
      </c>
      <c r="DH2848" t="str">
        <f t="shared" si="448"/>
        <v>Off</v>
      </c>
      <c r="DI2848" t="str">
        <f t="shared" si="448"/>
        <v>Off</v>
      </c>
      <c r="DJ2848" t="str">
        <f t="shared" si="448"/>
        <v>Off</v>
      </c>
      <c r="DK2848" t="str">
        <f t="shared" si="448"/>
        <v>Off</v>
      </c>
      <c r="DL2848" t="str">
        <f t="shared" si="448"/>
        <v>Off</v>
      </c>
      <c r="DM2848" t="str">
        <f t="shared" si="448"/>
        <v>Off</v>
      </c>
      <c r="DN2848" t="str">
        <f t="shared" si="448"/>
        <v>Off</v>
      </c>
      <c r="DO2848" t="str">
        <f t="shared" si="448"/>
        <v>Off</v>
      </c>
      <c r="DP2848" t="str">
        <f t="shared" si="448"/>
        <v>Off</v>
      </c>
      <c r="DQ2848" t="str">
        <f t="shared" si="448"/>
        <v>Off</v>
      </c>
      <c r="DR2848" t="str">
        <f t="shared" si="448"/>
        <v>Off</v>
      </c>
      <c r="DS2848" t="str">
        <f t="shared" si="448"/>
        <v>Off</v>
      </c>
      <c r="DT2848" t="str">
        <f t="shared" si="448"/>
        <v>Off</v>
      </c>
      <c r="DU2848" t="str">
        <f t="shared" si="448"/>
        <v>Off</v>
      </c>
      <c r="DV2848" t="str">
        <f t="shared" si="448"/>
        <v>Off</v>
      </c>
      <c r="DW2848" t="str">
        <f t="shared" si="448"/>
        <v>Off</v>
      </c>
      <c r="DX2848" t="str">
        <f t="shared" si="448"/>
        <v>Off</v>
      </c>
      <c r="DY2848" t="str">
        <f t="shared" si="448"/>
        <v>Off</v>
      </c>
    </row>
    <row r="2849" spans="1:129">
      <c r="A2849" t="s">
        <v>3600</v>
      </c>
      <c r="B2849">
        <v>0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  <c r="BG2849">
        <v>0</v>
      </c>
      <c r="BH2849">
        <v>0</v>
      </c>
      <c r="BI2849">
        <v>0</v>
      </c>
      <c r="BJ2849">
        <v>0</v>
      </c>
      <c r="BK2849">
        <v>0</v>
      </c>
      <c r="BL2849">
        <v>0</v>
      </c>
      <c r="BM2849">
        <v>0</v>
      </c>
      <c r="BN2849">
        <v>0</v>
      </c>
      <c r="BO2849">
        <v>0</v>
      </c>
      <c r="BP2849">
        <v>0</v>
      </c>
      <c r="BQ2849">
        <v>0</v>
      </c>
      <c r="BR2849">
        <v>0</v>
      </c>
      <c r="BS2849">
        <v>0</v>
      </c>
      <c r="BT2849">
        <v>0</v>
      </c>
      <c r="BU2849">
        <v>0</v>
      </c>
      <c r="BV2849">
        <v>0</v>
      </c>
      <c r="BW2849">
        <v>0</v>
      </c>
      <c r="BX2849">
        <v>0</v>
      </c>
      <c r="BY2849">
        <v>0</v>
      </c>
      <c r="BZ2849">
        <v>0</v>
      </c>
      <c r="CA2849">
        <v>0</v>
      </c>
      <c r="CB2849">
        <v>0</v>
      </c>
      <c r="CC2849">
        <v>0</v>
      </c>
      <c r="CD2849">
        <v>0</v>
      </c>
      <c r="CE2849">
        <v>0</v>
      </c>
      <c r="CF2849">
        <v>0</v>
      </c>
      <c r="CG2849">
        <v>0</v>
      </c>
      <c r="CH2849">
        <v>0</v>
      </c>
      <c r="CI2849">
        <v>0</v>
      </c>
      <c r="CJ2849">
        <v>0</v>
      </c>
      <c r="CK2849">
        <v>0</v>
      </c>
      <c r="CL2849">
        <v>0</v>
      </c>
      <c r="CM2849">
        <v>0</v>
      </c>
      <c r="CN2849">
        <v>0</v>
      </c>
      <c r="CO2849">
        <v>0</v>
      </c>
      <c r="CP2849">
        <v>0</v>
      </c>
      <c r="CQ2849">
        <v>0</v>
      </c>
      <c r="CR2849">
        <v>0</v>
      </c>
      <c r="CS2849">
        <v>0</v>
      </c>
      <c r="CT2849">
        <v>0</v>
      </c>
      <c r="CU2849">
        <v>0</v>
      </c>
      <c r="CV2849">
        <v>0</v>
      </c>
      <c r="CW2849">
        <v>0</v>
      </c>
      <c r="CX2849">
        <v>0</v>
      </c>
      <c r="CY2849">
        <v>0</v>
      </c>
      <c r="CZ2849">
        <v>0</v>
      </c>
      <c r="DA2849">
        <v>0</v>
      </c>
      <c r="DB2849">
        <v>0</v>
      </c>
      <c r="DC2849">
        <v>0</v>
      </c>
      <c r="DD2849">
        <v>0</v>
      </c>
      <c r="DE2849">
        <v>0</v>
      </c>
      <c r="DF2849">
        <v>0</v>
      </c>
      <c r="DG2849">
        <v>0</v>
      </c>
      <c r="DH2849">
        <v>0</v>
      </c>
      <c r="DI2849">
        <v>0</v>
      </c>
      <c r="DJ2849">
        <v>0</v>
      </c>
      <c r="DK2849">
        <v>0</v>
      </c>
      <c r="DL2849">
        <v>0</v>
      </c>
      <c r="DM2849">
        <v>0</v>
      </c>
      <c r="DN2849">
        <v>0</v>
      </c>
      <c r="DO2849">
        <v>0</v>
      </c>
      <c r="DP2849">
        <v>0</v>
      </c>
      <c r="DQ2849">
        <v>0</v>
      </c>
      <c r="DR2849">
        <v>0</v>
      </c>
      <c r="DS2849">
        <v>0</v>
      </c>
      <c r="DT2849">
        <v>0</v>
      </c>
      <c r="DU2849">
        <v>0</v>
      </c>
      <c r="DV2849">
        <v>0</v>
      </c>
      <c r="DW2849">
        <v>0</v>
      </c>
      <c r="DX2849">
        <v>0</v>
      </c>
      <c r="DY2849">
        <v>0</v>
      </c>
    </row>
    <row r="2850" spans="1:129">
      <c r="A2850" t="s">
        <v>3601</v>
      </c>
      <c r="B2850" t="str">
        <f>"On"</f>
        <v>On</v>
      </c>
      <c r="C2850" t="str">
        <f>"Off"</f>
        <v>Off</v>
      </c>
      <c r="D2850" t="str">
        <f>"Off"</f>
        <v>Off</v>
      </c>
      <c r="E2850" t="str">
        <f>"On"</f>
        <v>On</v>
      </c>
      <c r="F2850" t="str">
        <f>"On"</f>
        <v>On</v>
      </c>
      <c r="G2850" t="str">
        <f>"On"</f>
        <v>On</v>
      </c>
      <c r="H2850" t="str">
        <f>"On"</f>
        <v>On</v>
      </c>
      <c r="I2850" t="str">
        <f>"Off"</f>
        <v>Off</v>
      </c>
      <c r="J2850" t="str">
        <f>"Off"</f>
        <v>Off</v>
      </c>
      <c r="K2850" t="str">
        <f>"On"</f>
        <v>On</v>
      </c>
      <c r="L2850" t="str">
        <f>"On"</f>
        <v>On</v>
      </c>
      <c r="M2850" t="str">
        <f>"On"</f>
        <v>On</v>
      </c>
      <c r="N2850" t="str">
        <f>"Off"</f>
        <v>Off</v>
      </c>
      <c r="O2850" t="str">
        <f>"Off"</f>
        <v>Off</v>
      </c>
      <c r="P2850" t="str">
        <f>"On"</f>
        <v>On</v>
      </c>
      <c r="Q2850" t="str">
        <f>"Off"</f>
        <v>Off</v>
      </c>
      <c r="R2850" t="str">
        <f>"Off"</f>
        <v>Off</v>
      </c>
      <c r="S2850" t="str">
        <f>"On"</f>
        <v>On</v>
      </c>
      <c r="T2850" t="str">
        <f>"On"</f>
        <v>On</v>
      </c>
      <c r="U2850" t="str">
        <f>"On"</f>
        <v>On</v>
      </c>
      <c r="V2850" t="str">
        <f>"On"</f>
        <v>On</v>
      </c>
      <c r="W2850" t="str">
        <f>"Off"</f>
        <v>Off</v>
      </c>
      <c r="X2850" t="str">
        <f>"Off"</f>
        <v>Off</v>
      </c>
      <c r="Y2850" t="str">
        <f>"On"</f>
        <v>On</v>
      </c>
      <c r="Z2850" t="str">
        <f>"On"</f>
        <v>On</v>
      </c>
      <c r="AA2850" t="str">
        <f>"On"</f>
        <v>On</v>
      </c>
      <c r="AB2850" t="str">
        <f>"Off"</f>
        <v>Off</v>
      </c>
      <c r="AC2850" t="str">
        <f>"Off"</f>
        <v>Off</v>
      </c>
      <c r="AD2850" t="str">
        <f t="shared" ref="AD2850:AO2850" si="449">"On"</f>
        <v>On</v>
      </c>
      <c r="AE2850" t="str">
        <f t="shared" si="449"/>
        <v>On</v>
      </c>
      <c r="AF2850" t="str">
        <f t="shared" si="449"/>
        <v>On</v>
      </c>
      <c r="AG2850" t="str">
        <f t="shared" si="449"/>
        <v>On</v>
      </c>
      <c r="AH2850" t="str">
        <f t="shared" si="449"/>
        <v>On</v>
      </c>
      <c r="AI2850" t="str">
        <f t="shared" si="449"/>
        <v>On</v>
      </c>
      <c r="AJ2850" t="str">
        <f t="shared" si="449"/>
        <v>On</v>
      </c>
      <c r="AK2850" t="str">
        <f t="shared" si="449"/>
        <v>On</v>
      </c>
      <c r="AL2850" t="str">
        <f t="shared" si="449"/>
        <v>On</v>
      </c>
      <c r="AM2850" t="str">
        <f t="shared" si="449"/>
        <v>On</v>
      </c>
      <c r="AN2850" t="str">
        <f t="shared" si="449"/>
        <v>On</v>
      </c>
      <c r="AO2850" t="str">
        <f t="shared" si="449"/>
        <v>On</v>
      </c>
      <c r="AP2850" t="str">
        <f t="shared" ref="AP2850:AY2851" si="450">"Off"</f>
        <v>Off</v>
      </c>
      <c r="AQ2850" t="str">
        <f t="shared" si="450"/>
        <v>Off</v>
      </c>
      <c r="AR2850" t="str">
        <f t="shared" si="450"/>
        <v>Off</v>
      </c>
      <c r="AS2850" t="str">
        <f t="shared" si="450"/>
        <v>Off</v>
      </c>
      <c r="AT2850" t="str">
        <f t="shared" si="450"/>
        <v>Off</v>
      </c>
      <c r="AU2850" t="str">
        <f t="shared" si="450"/>
        <v>Off</v>
      </c>
      <c r="AV2850" t="str">
        <f t="shared" si="450"/>
        <v>Off</v>
      </c>
      <c r="AW2850" t="str">
        <f t="shared" si="450"/>
        <v>Off</v>
      </c>
      <c r="AX2850" t="str">
        <f t="shared" si="450"/>
        <v>Off</v>
      </c>
      <c r="AY2850" t="str">
        <f t="shared" si="450"/>
        <v>Off</v>
      </c>
      <c r="AZ2850" t="str">
        <f t="shared" ref="AZ2850:BI2851" si="451">"Off"</f>
        <v>Off</v>
      </c>
      <c r="BA2850" t="str">
        <f t="shared" si="451"/>
        <v>Off</v>
      </c>
      <c r="BB2850" t="str">
        <f t="shared" si="451"/>
        <v>Off</v>
      </c>
      <c r="BC2850" t="str">
        <f t="shared" si="451"/>
        <v>Off</v>
      </c>
      <c r="BD2850" t="str">
        <f t="shared" si="451"/>
        <v>Off</v>
      </c>
      <c r="BE2850" t="str">
        <f t="shared" si="451"/>
        <v>Off</v>
      </c>
      <c r="BF2850" t="str">
        <f t="shared" si="451"/>
        <v>Off</v>
      </c>
      <c r="BG2850" t="str">
        <f t="shared" si="451"/>
        <v>Off</v>
      </c>
      <c r="BH2850" t="str">
        <f t="shared" si="451"/>
        <v>Off</v>
      </c>
      <c r="BI2850" t="str">
        <f t="shared" si="451"/>
        <v>Off</v>
      </c>
      <c r="BJ2850" t="str">
        <f t="shared" ref="BJ2850:BS2851" si="452">"Off"</f>
        <v>Off</v>
      </c>
      <c r="BK2850" t="str">
        <f t="shared" si="452"/>
        <v>Off</v>
      </c>
      <c r="BL2850" t="str">
        <f t="shared" si="452"/>
        <v>Off</v>
      </c>
      <c r="BM2850" t="str">
        <f t="shared" si="452"/>
        <v>Off</v>
      </c>
      <c r="BN2850" t="str">
        <f t="shared" si="452"/>
        <v>Off</v>
      </c>
      <c r="BO2850" t="str">
        <f t="shared" si="452"/>
        <v>Off</v>
      </c>
      <c r="BP2850" t="str">
        <f t="shared" si="452"/>
        <v>Off</v>
      </c>
      <c r="BQ2850" t="str">
        <f t="shared" si="452"/>
        <v>Off</v>
      </c>
      <c r="BR2850" t="str">
        <f t="shared" si="452"/>
        <v>Off</v>
      </c>
      <c r="BS2850" t="str">
        <f t="shared" si="452"/>
        <v>Off</v>
      </c>
      <c r="BT2850" t="str">
        <f t="shared" ref="BT2850:CC2851" si="453">"Off"</f>
        <v>Off</v>
      </c>
      <c r="BU2850" t="str">
        <f t="shared" si="453"/>
        <v>Off</v>
      </c>
      <c r="BV2850" t="str">
        <f t="shared" si="453"/>
        <v>Off</v>
      </c>
      <c r="BW2850" t="str">
        <f t="shared" si="453"/>
        <v>Off</v>
      </c>
      <c r="BX2850" t="str">
        <f t="shared" si="453"/>
        <v>Off</v>
      </c>
      <c r="BY2850" t="str">
        <f t="shared" si="453"/>
        <v>Off</v>
      </c>
      <c r="BZ2850" t="str">
        <f t="shared" si="453"/>
        <v>Off</v>
      </c>
      <c r="CA2850" t="str">
        <f t="shared" si="453"/>
        <v>Off</v>
      </c>
      <c r="CB2850" t="str">
        <f t="shared" si="453"/>
        <v>Off</v>
      </c>
      <c r="CC2850" t="str">
        <f t="shared" si="453"/>
        <v>Off</v>
      </c>
      <c r="CD2850" t="str">
        <f t="shared" ref="CD2850:CM2851" si="454">"Off"</f>
        <v>Off</v>
      </c>
      <c r="CE2850" t="str">
        <f t="shared" si="454"/>
        <v>Off</v>
      </c>
      <c r="CF2850" t="str">
        <f t="shared" si="454"/>
        <v>Off</v>
      </c>
      <c r="CG2850" t="str">
        <f t="shared" si="454"/>
        <v>Off</v>
      </c>
      <c r="CH2850" t="str">
        <f t="shared" si="454"/>
        <v>Off</v>
      </c>
      <c r="CI2850" t="str">
        <f t="shared" si="454"/>
        <v>Off</v>
      </c>
      <c r="CJ2850" t="str">
        <f t="shared" si="454"/>
        <v>Off</v>
      </c>
      <c r="CK2850" t="str">
        <f t="shared" si="454"/>
        <v>Off</v>
      </c>
      <c r="CL2850" t="str">
        <f t="shared" si="454"/>
        <v>Off</v>
      </c>
      <c r="CM2850" t="str">
        <f t="shared" si="454"/>
        <v>Off</v>
      </c>
      <c r="CN2850" t="str">
        <f t="shared" ref="CN2850:CW2851" si="455">"Off"</f>
        <v>Off</v>
      </c>
      <c r="CO2850" t="str">
        <f t="shared" si="455"/>
        <v>Off</v>
      </c>
      <c r="CP2850" t="str">
        <f t="shared" si="455"/>
        <v>Off</v>
      </c>
      <c r="CQ2850" t="str">
        <f t="shared" si="455"/>
        <v>Off</v>
      </c>
      <c r="CR2850" t="str">
        <f t="shared" si="455"/>
        <v>Off</v>
      </c>
      <c r="CS2850" t="str">
        <f t="shared" si="455"/>
        <v>Off</v>
      </c>
      <c r="CT2850" t="str">
        <f t="shared" si="455"/>
        <v>Off</v>
      </c>
      <c r="CU2850" t="str">
        <f t="shared" si="455"/>
        <v>Off</v>
      </c>
      <c r="CV2850" t="str">
        <f t="shared" si="455"/>
        <v>Off</v>
      </c>
      <c r="CW2850" t="str">
        <f t="shared" si="455"/>
        <v>Off</v>
      </c>
      <c r="CX2850" t="str">
        <f t="shared" ref="CX2850:DG2851" si="456">"Off"</f>
        <v>Off</v>
      </c>
      <c r="CY2850" t="str">
        <f t="shared" si="456"/>
        <v>Off</v>
      </c>
      <c r="CZ2850" t="str">
        <f t="shared" si="456"/>
        <v>Off</v>
      </c>
      <c r="DA2850" t="str">
        <f t="shared" si="456"/>
        <v>Off</v>
      </c>
      <c r="DB2850" t="str">
        <f t="shared" si="456"/>
        <v>Off</v>
      </c>
      <c r="DC2850" t="str">
        <f t="shared" si="456"/>
        <v>Off</v>
      </c>
      <c r="DD2850" t="str">
        <f t="shared" si="456"/>
        <v>Off</v>
      </c>
      <c r="DE2850" t="str">
        <f t="shared" si="456"/>
        <v>Off</v>
      </c>
      <c r="DF2850" t="str">
        <f t="shared" si="456"/>
        <v>Off</v>
      </c>
      <c r="DG2850" t="str">
        <f t="shared" si="456"/>
        <v>Off</v>
      </c>
      <c r="DH2850" t="str">
        <f t="shared" ref="DH2850:DQ2851" si="457">"Off"</f>
        <v>Off</v>
      </c>
      <c r="DI2850" t="str">
        <f t="shared" si="457"/>
        <v>Off</v>
      </c>
      <c r="DJ2850" t="str">
        <f t="shared" si="457"/>
        <v>Off</v>
      </c>
      <c r="DK2850" t="str">
        <f t="shared" si="457"/>
        <v>Off</v>
      </c>
      <c r="DL2850" t="str">
        <f t="shared" si="457"/>
        <v>Off</v>
      </c>
      <c r="DM2850" t="str">
        <f t="shared" si="457"/>
        <v>Off</v>
      </c>
      <c r="DN2850" t="str">
        <f t="shared" si="457"/>
        <v>Off</v>
      </c>
      <c r="DO2850" t="str">
        <f t="shared" si="457"/>
        <v>Off</v>
      </c>
      <c r="DP2850" t="str">
        <f t="shared" si="457"/>
        <v>Off</v>
      </c>
      <c r="DQ2850" t="str">
        <f t="shared" si="457"/>
        <v>Off</v>
      </c>
      <c r="DR2850" t="str">
        <f t="shared" ref="DR2850:DY2851" si="458">"Off"</f>
        <v>Off</v>
      </c>
      <c r="DS2850" t="str">
        <f t="shared" si="458"/>
        <v>Off</v>
      </c>
      <c r="DT2850" t="str">
        <f t="shared" si="458"/>
        <v>Off</v>
      </c>
      <c r="DU2850" t="str">
        <f t="shared" si="458"/>
        <v>Off</v>
      </c>
      <c r="DV2850" t="str">
        <f t="shared" si="458"/>
        <v>Off</v>
      </c>
      <c r="DW2850" t="str">
        <f t="shared" si="458"/>
        <v>Off</v>
      </c>
      <c r="DX2850" t="str">
        <f t="shared" si="458"/>
        <v>Off</v>
      </c>
      <c r="DY2850" t="str">
        <f t="shared" si="458"/>
        <v>Off</v>
      </c>
    </row>
    <row r="2851" spans="1:129">
      <c r="A2851" t="s">
        <v>3602</v>
      </c>
      <c r="B2851" t="str">
        <f>"Off"</f>
        <v>Off</v>
      </c>
      <c r="C2851" t="str">
        <f>"Off"</f>
        <v>Off</v>
      </c>
      <c r="D2851" t="str">
        <f>"Off"</f>
        <v>Off</v>
      </c>
      <c r="E2851" t="str">
        <f>"Off"</f>
        <v>Off</v>
      </c>
      <c r="F2851" t="str">
        <f>"Off"</f>
        <v>Off</v>
      </c>
      <c r="G2851" t="str">
        <f>"Off"</f>
        <v>Off</v>
      </c>
      <c r="H2851" t="str">
        <f>"Off"</f>
        <v>Off</v>
      </c>
      <c r="I2851" t="str">
        <f>"Off"</f>
        <v>Off</v>
      </c>
      <c r="J2851" t="str">
        <f>"Off"</f>
        <v>Off</v>
      </c>
      <c r="K2851" t="str">
        <f>"Off"</f>
        <v>Off</v>
      </c>
      <c r="L2851" t="str">
        <f>"Off"</f>
        <v>Off</v>
      </c>
      <c r="M2851" t="str">
        <f>"Off"</f>
        <v>Off</v>
      </c>
      <c r="N2851" t="str">
        <f>"Off"</f>
        <v>Off</v>
      </c>
      <c r="O2851" t="str">
        <f>"Off"</f>
        <v>Off</v>
      </c>
      <c r="P2851" t="str">
        <f>"Off"</f>
        <v>Off</v>
      </c>
      <c r="Q2851" t="str">
        <f>"Off"</f>
        <v>Off</v>
      </c>
      <c r="R2851" t="str">
        <f>"Off"</f>
        <v>Off</v>
      </c>
      <c r="S2851" t="str">
        <f>"Off"</f>
        <v>Off</v>
      </c>
      <c r="T2851" t="str">
        <f>"Off"</f>
        <v>Off</v>
      </c>
      <c r="U2851" t="str">
        <f>"Off"</f>
        <v>Off</v>
      </c>
      <c r="V2851" t="str">
        <f>"Off"</f>
        <v>Off</v>
      </c>
      <c r="W2851" t="str">
        <f>"Off"</f>
        <v>Off</v>
      </c>
      <c r="X2851" t="str">
        <f>"Off"</f>
        <v>Off</v>
      </c>
      <c r="Y2851" t="str">
        <f>"Off"</f>
        <v>Off</v>
      </c>
      <c r="Z2851" t="str">
        <f>"Off"</f>
        <v>Off</v>
      </c>
      <c r="AA2851" t="str">
        <f>"Off"</f>
        <v>Off</v>
      </c>
      <c r="AB2851" t="str">
        <f>"Off"</f>
        <v>Off</v>
      </c>
      <c r="AC2851" t="str">
        <f>"Off"</f>
        <v>Off</v>
      </c>
      <c r="AD2851" t="str">
        <f t="shared" ref="AD2851:AO2851" si="459">"Off"</f>
        <v>Off</v>
      </c>
      <c r="AE2851" t="str">
        <f t="shared" si="459"/>
        <v>Off</v>
      </c>
      <c r="AF2851" t="str">
        <f t="shared" si="459"/>
        <v>Off</v>
      </c>
      <c r="AG2851" t="str">
        <f t="shared" si="459"/>
        <v>Off</v>
      </c>
      <c r="AH2851" t="str">
        <f t="shared" si="459"/>
        <v>Off</v>
      </c>
      <c r="AI2851" t="str">
        <f t="shared" si="459"/>
        <v>Off</v>
      </c>
      <c r="AJ2851" t="str">
        <f t="shared" si="459"/>
        <v>Off</v>
      </c>
      <c r="AK2851" t="str">
        <f t="shared" si="459"/>
        <v>Off</v>
      </c>
      <c r="AL2851" t="str">
        <f t="shared" si="459"/>
        <v>Off</v>
      </c>
      <c r="AM2851" t="str">
        <f t="shared" si="459"/>
        <v>Off</v>
      </c>
      <c r="AN2851" t="str">
        <f t="shared" si="459"/>
        <v>Off</v>
      </c>
      <c r="AO2851" t="str">
        <f t="shared" si="459"/>
        <v>Off</v>
      </c>
      <c r="AP2851" t="str">
        <f t="shared" si="450"/>
        <v>Off</v>
      </c>
      <c r="AQ2851" t="str">
        <f t="shared" si="450"/>
        <v>Off</v>
      </c>
      <c r="AR2851" t="str">
        <f t="shared" si="450"/>
        <v>Off</v>
      </c>
      <c r="AS2851" t="str">
        <f t="shared" si="450"/>
        <v>Off</v>
      </c>
      <c r="AT2851" t="str">
        <f t="shared" si="450"/>
        <v>Off</v>
      </c>
      <c r="AU2851" t="str">
        <f t="shared" si="450"/>
        <v>Off</v>
      </c>
      <c r="AV2851" t="str">
        <f t="shared" si="450"/>
        <v>Off</v>
      </c>
      <c r="AW2851" t="str">
        <f t="shared" si="450"/>
        <v>Off</v>
      </c>
      <c r="AX2851" t="str">
        <f t="shared" si="450"/>
        <v>Off</v>
      </c>
      <c r="AY2851" t="str">
        <f t="shared" si="450"/>
        <v>Off</v>
      </c>
      <c r="AZ2851" t="str">
        <f t="shared" si="451"/>
        <v>Off</v>
      </c>
      <c r="BA2851" t="str">
        <f t="shared" si="451"/>
        <v>Off</v>
      </c>
      <c r="BB2851" t="str">
        <f t="shared" si="451"/>
        <v>Off</v>
      </c>
      <c r="BC2851" t="str">
        <f t="shared" si="451"/>
        <v>Off</v>
      </c>
      <c r="BD2851" t="str">
        <f t="shared" si="451"/>
        <v>Off</v>
      </c>
      <c r="BE2851" t="str">
        <f t="shared" si="451"/>
        <v>Off</v>
      </c>
      <c r="BF2851" t="str">
        <f t="shared" si="451"/>
        <v>Off</v>
      </c>
      <c r="BG2851" t="str">
        <f t="shared" si="451"/>
        <v>Off</v>
      </c>
      <c r="BH2851" t="str">
        <f t="shared" si="451"/>
        <v>Off</v>
      </c>
      <c r="BI2851" t="str">
        <f t="shared" si="451"/>
        <v>Off</v>
      </c>
      <c r="BJ2851" t="str">
        <f t="shared" si="452"/>
        <v>Off</v>
      </c>
      <c r="BK2851" t="str">
        <f t="shared" si="452"/>
        <v>Off</v>
      </c>
      <c r="BL2851" t="str">
        <f t="shared" si="452"/>
        <v>Off</v>
      </c>
      <c r="BM2851" t="str">
        <f t="shared" si="452"/>
        <v>Off</v>
      </c>
      <c r="BN2851" t="str">
        <f t="shared" si="452"/>
        <v>Off</v>
      </c>
      <c r="BO2851" t="str">
        <f t="shared" si="452"/>
        <v>Off</v>
      </c>
      <c r="BP2851" t="str">
        <f t="shared" si="452"/>
        <v>Off</v>
      </c>
      <c r="BQ2851" t="str">
        <f t="shared" si="452"/>
        <v>Off</v>
      </c>
      <c r="BR2851" t="str">
        <f t="shared" si="452"/>
        <v>Off</v>
      </c>
      <c r="BS2851" t="str">
        <f t="shared" si="452"/>
        <v>Off</v>
      </c>
      <c r="BT2851" t="str">
        <f t="shared" si="453"/>
        <v>Off</v>
      </c>
      <c r="BU2851" t="str">
        <f t="shared" si="453"/>
        <v>Off</v>
      </c>
      <c r="BV2851" t="str">
        <f t="shared" si="453"/>
        <v>Off</v>
      </c>
      <c r="BW2851" t="str">
        <f t="shared" si="453"/>
        <v>Off</v>
      </c>
      <c r="BX2851" t="str">
        <f t="shared" si="453"/>
        <v>Off</v>
      </c>
      <c r="BY2851" t="str">
        <f t="shared" si="453"/>
        <v>Off</v>
      </c>
      <c r="BZ2851" t="str">
        <f t="shared" si="453"/>
        <v>Off</v>
      </c>
      <c r="CA2851" t="str">
        <f t="shared" si="453"/>
        <v>Off</v>
      </c>
      <c r="CB2851" t="str">
        <f t="shared" si="453"/>
        <v>Off</v>
      </c>
      <c r="CC2851" t="str">
        <f t="shared" si="453"/>
        <v>Off</v>
      </c>
      <c r="CD2851" t="str">
        <f t="shared" si="454"/>
        <v>Off</v>
      </c>
      <c r="CE2851" t="str">
        <f t="shared" si="454"/>
        <v>Off</v>
      </c>
      <c r="CF2851" t="str">
        <f t="shared" si="454"/>
        <v>Off</v>
      </c>
      <c r="CG2851" t="str">
        <f t="shared" si="454"/>
        <v>Off</v>
      </c>
      <c r="CH2851" t="str">
        <f t="shared" si="454"/>
        <v>Off</v>
      </c>
      <c r="CI2851" t="str">
        <f t="shared" si="454"/>
        <v>Off</v>
      </c>
      <c r="CJ2851" t="str">
        <f t="shared" si="454"/>
        <v>Off</v>
      </c>
      <c r="CK2851" t="str">
        <f t="shared" si="454"/>
        <v>Off</v>
      </c>
      <c r="CL2851" t="str">
        <f t="shared" si="454"/>
        <v>Off</v>
      </c>
      <c r="CM2851" t="str">
        <f t="shared" si="454"/>
        <v>Off</v>
      </c>
      <c r="CN2851" t="str">
        <f t="shared" si="455"/>
        <v>Off</v>
      </c>
      <c r="CO2851" t="str">
        <f t="shared" si="455"/>
        <v>Off</v>
      </c>
      <c r="CP2851" t="str">
        <f t="shared" si="455"/>
        <v>Off</v>
      </c>
      <c r="CQ2851" t="str">
        <f t="shared" si="455"/>
        <v>Off</v>
      </c>
      <c r="CR2851" t="str">
        <f t="shared" si="455"/>
        <v>Off</v>
      </c>
      <c r="CS2851" t="str">
        <f t="shared" si="455"/>
        <v>Off</v>
      </c>
      <c r="CT2851" t="str">
        <f t="shared" si="455"/>
        <v>Off</v>
      </c>
      <c r="CU2851" t="str">
        <f t="shared" si="455"/>
        <v>Off</v>
      </c>
      <c r="CV2851" t="str">
        <f t="shared" si="455"/>
        <v>Off</v>
      </c>
      <c r="CW2851" t="str">
        <f t="shared" si="455"/>
        <v>Off</v>
      </c>
      <c r="CX2851" t="str">
        <f t="shared" si="456"/>
        <v>Off</v>
      </c>
      <c r="CY2851" t="str">
        <f t="shared" si="456"/>
        <v>Off</v>
      </c>
      <c r="CZ2851" t="str">
        <f t="shared" si="456"/>
        <v>Off</v>
      </c>
      <c r="DA2851" t="str">
        <f t="shared" si="456"/>
        <v>Off</v>
      </c>
      <c r="DB2851" t="str">
        <f t="shared" si="456"/>
        <v>Off</v>
      </c>
      <c r="DC2851" t="str">
        <f t="shared" si="456"/>
        <v>Off</v>
      </c>
      <c r="DD2851" t="str">
        <f t="shared" si="456"/>
        <v>Off</v>
      </c>
      <c r="DE2851" t="str">
        <f t="shared" si="456"/>
        <v>Off</v>
      </c>
      <c r="DF2851" t="str">
        <f t="shared" si="456"/>
        <v>Off</v>
      </c>
      <c r="DG2851" t="str">
        <f t="shared" si="456"/>
        <v>Off</v>
      </c>
      <c r="DH2851" t="str">
        <f t="shared" si="457"/>
        <v>Off</v>
      </c>
      <c r="DI2851" t="str">
        <f t="shared" si="457"/>
        <v>Off</v>
      </c>
      <c r="DJ2851" t="str">
        <f t="shared" si="457"/>
        <v>Off</v>
      </c>
      <c r="DK2851" t="str">
        <f t="shared" si="457"/>
        <v>Off</v>
      </c>
      <c r="DL2851" t="str">
        <f t="shared" si="457"/>
        <v>Off</v>
      </c>
      <c r="DM2851" t="str">
        <f t="shared" si="457"/>
        <v>Off</v>
      </c>
      <c r="DN2851" t="str">
        <f t="shared" si="457"/>
        <v>Off</v>
      </c>
      <c r="DO2851" t="str">
        <f t="shared" si="457"/>
        <v>Off</v>
      </c>
      <c r="DP2851" t="str">
        <f t="shared" si="457"/>
        <v>Off</v>
      </c>
      <c r="DQ2851" t="str">
        <f t="shared" si="457"/>
        <v>Off</v>
      </c>
      <c r="DR2851" t="str">
        <f t="shared" si="458"/>
        <v>Off</v>
      </c>
      <c r="DS2851" t="str">
        <f t="shared" si="458"/>
        <v>Off</v>
      </c>
      <c r="DT2851" t="str">
        <f t="shared" si="458"/>
        <v>Off</v>
      </c>
      <c r="DU2851" t="str">
        <f t="shared" si="458"/>
        <v>Off</v>
      </c>
      <c r="DV2851" t="str">
        <f t="shared" si="458"/>
        <v>Off</v>
      </c>
      <c r="DW2851" t="str">
        <f t="shared" si="458"/>
        <v>Off</v>
      </c>
      <c r="DX2851" t="str">
        <f t="shared" si="458"/>
        <v>Off</v>
      </c>
      <c r="DY2851" t="str">
        <f t="shared" si="458"/>
        <v>Off</v>
      </c>
    </row>
    <row r="2853" spans="1:129">
      <c r="B2853" t="s">
        <v>3603</v>
      </c>
      <c r="C2853">
        <v>25</v>
      </c>
      <c r="D2853">
        <v>16</v>
      </c>
      <c r="E2853">
        <v>1</v>
      </c>
    </row>
    <row r="2854" spans="1:129">
      <c r="B2854" t="s">
        <v>1511</v>
      </c>
      <c r="C2854" t="s">
        <v>1512</v>
      </c>
      <c r="D2854" t="s">
        <v>1513</v>
      </c>
      <c r="E2854" t="s">
        <v>1514</v>
      </c>
      <c r="F2854" t="s">
        <v>1515</v>
      </c>
      <c r="G2854" t="s">
        <v>1516</v>
      </c>
      <c r="H2854" t="s">
        <v>1517</v>
      </c>
      <c r="I2854" t="s">
        <v>1518</v>
      </c>
      <c r="J2854" t="s">
        <v>3604</v>
      </c>
      <c r="K2854" t="s">
        <v>3605</v>
      </c>
      <c r="L2854" t="s">
        <v>3606</v>
      </c>
      <c r="M2854" t="s">
        <v>3607</v>
      </c>
      <c r="N2854" t="s">
        <v>3608</v>
      </c>
      <c r="O2854" t="s">
        <v>3609</v>
      </c>
      <c r="P2854" t="s">
        <v>3610</v>
      </c>
      <c r="Q2854" t="s">
        <v>3611</v>
      </c>
    </row>
    <row r="2855" spans="1:129">
      <c r="A2855" t="s">
        <v>2483</v>
      </c>
      <c r="B2855" t="str">
        <f t="shared" ref="B2855:Q2856" si="460">"Off"</f>
        <v>Off</v>
      </c>
      <c r="C2855" t="str">
        <f t="shared" si="460"/>
        <v>Off</v>
      </c>
      <c r="D2855" t="str">
        <f t="shared" si="460"/>
        <v>Off</v>
      </c>
      <c r="E2855" t="str">
        <f t="shared" si="460"/>
        <v>Off</v>
      </c>
      <c r="F2855" t="str">
        <f t="shared" si="460"/>
        <v>Off</v>
      </c>
      <c r="G2855" t="str">
        <f t="shared" si="460"/>
        <v>Off</v>
      </c>
      <c r="H2855" t="str">
        <f t="shared" si="460"/>
        <v>Off</v>
      </c>
      <c r="I2855" t="str">
        <f t="shared" si="460"/>
        <v>Off</v>
      </c>
      <c r="J2855" t="str">
        <f t="shared" si="460"/>
        <v>Off</v>
      </c>
      <c r="K2855" t="str">
        <f t="shared" si="460"/>
        <v>Off</v>
      </c>
      <c r="L2855" t="str">
        <f t="shared" si="460"/>
        <v>Off</v>
      </c>
      <c r="M2855" t="str">
        <f t="shared" si="460"/>
        <v>Off</v>
      </c>
      <c r="N2855" t="str">
        <f t="shared" si="460"/>
        <v>Off</v>
      </c>
      <c r="O2855" t="str">
        <f t="shared" si="460"/>
        <v>Off</v>
      </c>
      <c r="P2855" t="str">
        <f t="shared" si="460"/>
        <v>Off</v>
      </c>
      <c r="Q2855" t="str">
        <f t="shared" si="460"/>
        <v>Off</v>
      </c>
    </row>
    <row r="2856" spans="1:129">
      <c r="A2856" t="s">
        <v>108</v>
      </c>
      <c r="B2856" t="str">
        <f t="shared" si="460"/>
        <v>Off</v>
      </c>
      <c r="C2856" t="str">
        <f t="shared" si="460"/>
        <v>Off</v>
      </c>
      <c r="D2856" t="str">
        <f t="shared" si="460"/>
        <v>Off</v>
      </c>
      <c r="E2856" t="str">
        <f t="shared" si="460"/>
        <v>Off</v>
      </c>
      <c r="F2856" t="str">
        <f t="shared" si="460"/>
        <v>Off</v>
      </c>
      <c r="G2856" t="str">
        <f t="shared" si="460"/>
        <v>Off</v>
      </c>
      <c r="H2856" t="str">
        <f t="shared" si="460"/>
        <v>Off</v>
      </c>
      <c r="I2856" t="str">
        <f t="shared" si="460"/>
        <v>Off</v>
      </c>
      <c r="J2856" t="str">
        <f t="shared" si="460"/>
        <v>Off</v>
      </c>
      <c r="K2856" t="str">
        <f t="shared" si="460"/>
        <v>Off</v>
      </c>
      <c r="L2856" t="str">
        <f t="shared" si="460"/>
        <v>Off</v>
      </c>
      <c r="M2856" t="str">
        <f t="shared" si="460"/>
        <v>Off</v>
      </c>
      <c r="N2856" t="str">
        <f t="shared" si="460"/>
        <v>Off</v>
      </c>
      <c r="O2856" t="str">
        <f t="shared" si="460"/>
        <v>Off</v>
      </c>
      <c r="P2856" t="str">
        <f t="shared" si="460"/>
        <v>Off</v>
      </c>
      <c r="Q2856" t="str">
        <f t="shared" si="460"/>
        <v>Off</v>
      </c>
    </row>
    <row r="2857" spans="1:129">
      <c r="A2857" t="s">
        <v>2434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</row>
    <row r="2858" spans="1:129">
      <c r="A2858" t="s">
        <v>3612</v>
      </c>
      <c r="B2858">
        <v>0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</row>
    <row r="2859" spans="1:129">
      <c r="A2859" t="s">
        <v>3613</v>
      </c>
      <c r="B2859">
        <v>0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</row>
    <row r="2860" spans="1:129">
      <c r="A2860" t="s">
        <v>2783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</row>
    <row r="2861" spans="1:129">
      <c r="A2861" t="s">
        <v>2439</v>
      </c>
      <c r="B2861">
        <v>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</row>
    <row r="2862" spans="1:129">
      <c r="A2862" t="s">
        <v>2435</v>
      </c>
      <c r="B2862">
        <v>0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</row>
    <row r="2863" spans="1:129">
      <c r="A2863" t="s">
        <v>3614</v>
      </c>
      <c r="B2863" t="str">
        <f t="shared" ref="B2863:Q2863" si="461">"NORM"</f>
        <v>NORM</v>
      </c>
      <c r="C2863" t="str">
        <f t="shared" si="461"/>
        <v>NORM</v>
      </c>
      <c r="D2863" t="str">
        <f t="shared" si="461"/>
        <v>NORM</v>
      </c>
      <c r="E2863" t="str">
        <f t="shared" si="461"/>
        <v>NORM</v>
      </c>
      <c r="F2863" t="str">
        <f t="shared" si="461"/>
        <v>NORM</v>
      </c>
      <c r="G2863" t="str">
        <f t="shared" si="461"/>
        <v>NORM</v>
      </c>
      <c r="H2863" t="str">
        <f t="shared" si="461"/>
        <v>NORM</v>
      </c>
      <c r="I2863" t="str">
        <f t="shared" si="461"/>
        <v>NORM</v>
      </c>
      <c r="J2863" t="str">
        <f t="shared" si="461"/>
        <v>NORM</v>
      </c>
      <c r="K2863" t="str">
        <f t="shared" si="461"/>
        <v>NORM</v>
      </c>
      <c r="L2863" t="str">
        <f t="shared" si="461"/>
        <v>NORM</v>
      </c>
      <c r="M2863" t="str">
        <f t="shared" si="461"/>
        <v>NORM</v>
      </c>
      <c r="N2863" t="str">
        <f t="shared" si="461"/>
        <v>NORM</v>
      </c>
      <c r="O2863" t="str">
        <f t="shared" si="461"/>
        <v>NORM</v>
      </c>
      <c r="P2863" t="str">
        <f t="shared" si="461"/>
        <v>NORM</v>
      </c>
      <c r="Q2863" t="str">
        <f t="shared" si="461"/>
        <v>NORM</v>
      </c>
    </row>
    <row r="2864" spans="1:129">
      <c r="A2864" t="s">
        <v>3594</v>
      </c>
      <c r="B2864" t="str">
        <f t="shared" ref="B2864:Q2864" si="462">"Off"</f>
        <v>Off</v>
      </c>
      <c r="C2864" t="str">
        <f t="shared" si="462"/>
        <v>Off</v>
      </c>
      <c r="D2864" t="str">
        <f t="shared" si="462"/>
        <v>Off</v>
      </c>
      <c r="E2864" t="str">
        <f t="shared" si="462"/>
        <v>Off</v>
      </c>
      <c r="F2864" t="str">
        <f t="shared" si="462"/>
        <v>Off</v>
      </c>
      <c r="G2864" t="str">
        <f t="shared" si="462"/>
        <v>Off</v>
      </c>
      <c r="H2864" t="str">
        <f t="shared" si="462"/>
        <v>Off</v>
      </c>
      <c r="I2864" t="str">
        <f t="shared" si="462"/>
        <v>Off</v>
      </c>
      <c r="J2864" t="str">
        <f t="shared" si="462"/>
        <v>Off</v>
      </c>
      <c r="K2864" t="str">
        <f t="shared" si="462"/>
        <v>Off</v>
      </c>
      <c r="L2864" t="str">
        <f t="shared" si="462"/>
        <v>Off</v>
      </c>
      <c r="M2864" t="str">
        <f t="shared" si="462"/>
        <v>Off</v>
      </c>
      <c r="N2864" t="str">
        <f t="shared" si="462"/>
        <v>Off</v>
      </c>
      <c r="O2864" t="str">
        <f t="shared" si="462"/>
        <v>Off</v>
      </c>
      <c r="P2864" t="str">
        <f t="shared" si="462"/>
        <v>Off</v>
      </c>
      <c r="Q2864" t="str">
        <f t="shared" si="462"/>
        <v>Off</v>
      </c>
    </row>
    <row r="2865" spans="1:17">
      <c r="A2865" t="s">
        <v>3595</v>
      </c>
      <c r="B2865">
        <v>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</row>
    <row r="2866" spans="1:17">
      <c r="A2866" t="s">
        <v>3596</v>
      </c>
      <c r="B2866">
        <v>0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</row>
    <row r="2867" spans="1:17">
      <c r="A2867" t="s">
        <v>3615</v>
      </c>
      <c r="B2867" t="str">
        <f t="shared" ref="B2867:Q2867" si="463">"Off"</f>
        <v>Off</v>
      </c>
      <c r="C2867" t="str">
        <f t="shared" si="463"/>
        <v>Off</v>
      </c>
      <c r="D2867" t="str">
        <f t="shared" si="463"/>
        <v>Off</v>
      </c>
      <c r="E2867" t="str">
        <f t="shared" si="463"/>
        <v>Off</v>
      </c>
      <c r="F2867" t="str">
        <f t="shared" si="463"/>
        <v>Off</v>
      </c>
      <c r="G2867" t="str">
        <f t="shared" si="463"/>
        <v>Off</v>
      </c>
      <c r="H2867" t="str">
        <f t="shared" si="463"/>
        <v>Off</v>
      </c>
      <c r="I2867" t="str">
        <f t="shared" si="463"/>
        <v>Off</v>
      </c>
      <c r="J2867" t="str">
        <f t="shared" si="463"/>
        <v>Off</v>
      </c>
      <c r="K2867" t="str">
        <f t="shared" si="463"/>
        <v>Off</v>
      </c>
      <c r="L2867" t="str">
        <f t="shared" si="463"/>
        <v>Off</v>
      </c>
      <c r="M2867" t="str">
        <f t="shared" si="463"/>
        <v>Off</v>
      </c>
      <c r="N2867" t="str">
        <f t="shared" si="463"/>
        <v>Off</v>
      </c>
      <c r="O2867" t="str">
        <f t="shared" si="463"/>
        <v>Off</v>
      </c>
      <c r="P2867" t="str">
        <f t="shared" si="463"/>
        <v>Off</v>
      </c>
      <c r="Q2867" t="str">
        <f t="shared" si="463"/>
        <v>Off</v>
      </c>
    </row>
    <row r="2868" spans="1:17">
      <c r="A2868" t="s">
        <v>2436</v>
      </c>
      <c r="B2868">
        <v>0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</row>
    <row r="2869" spans="1:17">
      <c r="A2869" t="s">
        <v>2437</v>
      </c>
      <c r="B2869">
        <v>0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</row>
    <row r="2870" spans="1:17">
      <c r="A2870" t="s">
        <v>109</v>
      </c>
      <c r="B2870" t="str">
        <f t="shared" ref="B2870:Q2871" si="464">"Off"</f>
        <v>Off</v>
      </c>
      <c r="C2870" t="str">
        <f t="shared" si="464"/>
        <v>Off</v>
      </c>
      <c r="D2870" t="str">
        <f t="shared" si="464"/>
        <v>Off</v>
      </c>
      <c r="E2870" t="str">
        <f t="shared" si="464"/>
        <v>Off</v>
      </c>
      <c r="F2870" t="str">
        <f t="shared" si="464"/>
        <v>Off</v>
      </c>
      <c r="G2870" t="str">
        <f t="shared" si="464"/>
        <v>Off</v>
      </c>
      <c r="H2870" t="str">
        <f t="shared" si="464"/>
        <v>Off</v>
      </c>
      <c r="I2870" t="str">
        <f t="shared" si="464"/>
        <v>Off</v>
      </c>
      <c r="J2870" t="str">
        <f t="shared" si="464"/>
        <v>Off</v>
      </c>
      <c r="K2870" t="str">
        <f t="shared" si="464"/>
        <v>Off</v>
      </c>
      <c r="L2870" t="str">
        <f t="shared" si="464"/>
        <v>Off</v>
      </c>
      <c r="M2870" t="str">
        <f t="shared" si="464"/>
        <v>Off</v>
      </c>
      <c r="N2870" t="str">
        <f t="shared" si="464"/>
        <v>Off</v>
      </c>
      <c r="O2870" t="str">
        <f t="shared" si="464"/>
        <v>Off</v>
      </c>
      <c r="P2870" t="str">
        <f t="shared" si="464"/>
        <v>Off</v>
      </c>
      <c r="Q2870" t="str">
        <f t="shared" si="464"/>
        <v>Off</v>
      </c>
    </row>
    <row r="2871" spans="1:17">
      <c r="A2871" t="s">
        <v>3597</v>
      </c>
      <c r="B2871" t="str">
        <f t="shared" si="464"/>
        <v>Off</v>
      </c>
      <c r="C2871" t="str">
        <f t="shared" si="464"/>
        <v>Off</v>
      </c>
      <c r="D2871" t="str">
        <f t="shared" si="464"/>
        <v>Off</v>
      </c>
      <c r="E2871" t="str">
        <f t="shared" si="464"/>
        <v>Off</v>
      </c>
      <c r="F2871" t="str">
        <f t="shared" si="464"/>
        <v>Off</v>
      </c>
      <c r="G2871" t="str">
        <f t="shared" si="464"/>
        <v>Off</v>
      </c>
      <c r="H2871" t="str">
        <f t="shared" si="464"/>
        <v>Off</v>
      </c>
      <c r="I2871" t="str">
        <f t="shared" si="464"/>
        <v>Off</v>
      </c>
      <c r="J2871" t="str">
        <f t="shared" si="464"/>
        <v>Off</v>
      </c>
      <c r="K2871" t="str">
        <f t="shared" si="464"/>
        <v>Off</v>
      </c>
      <c r="L2871" t="str">
        <f t="shared" si="464"/>
        <v>Off</v>
      </c>
      <c r="M2871" t="str">
        <f t="shared" si="464"/>
        <v>Off</v>
      </c>
      <c r="N2871" t="str">
        <f t="shared" si="464"/>
        <v>Off</v>
      </c>
      <c r="O2871" t="str">
        <f t="shared" si="464"/>
        <v>Off</v>
      </c>
      <c r="P2871" t="str">
        <f t="shared" si="464"/>
        <v>Off</v>
      </c>
      <c r="Q2871" t="str">
        <f t="shared" si="464"/>
        <v>Off</v>
      </c>
    </row>
    <row r="2872" spans="1:17">
      <c r="A2872" t="s">
        <v>3598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</row>
    <row r="2873" spans="1:17">
      <c r="A2873" t="s">
        <v>3599</v>
      </c>
      <c r="B2873" t="str">
        <f t="shared" ref="B2873:Q2874" si="465">"Off"</f>
        <v>Off</v>
      </c>
      <c r="C2873" t="str">
        <f t="shared" si="465"/>
        <v>Off</v>
      </c>
      <c r="D2873" t="str">
        <f t="shared" si="465"/>
        <v>Off</v>
      </c>
      <c r="E2873" t="str">
        <f t="shared" si="465"/>
        <v>Off</v>
      </c>
      <c r="F2873" t="str">
        <f t="shared" si="465"/>
        <v>Off</v>
      </c>
      <c r="G2873" t="str">
        <f t="shared" si="465"/>
        <v>Off</v>
      </c>
      <c r="H2873" t="str">
        <f t="shared" si="465"/>
        <v>Off</v>
      </c>
      <c r="I2873" t="str">
        <f t="shared" si="465"/>
        <v>Off</v>
      </c>
      <c r="J2873" t="str">
        <f t="shared" si="465"/>
        <v>Off</v>
      </c>
      <c r="K2873" t="str">
        <f t="shared" si="465"/>
        <v>Off</v>
      </c>
      <c r="L2873" t="str">
        <f t="shared" si="465"/>
        <v>Off</v>
      </c>
      <c r="M2873" t="str">
        <f t="shared" si="465"/>
        <v>Off</v>
      </c>
      <c r="N2873" t="str">
        <f t="shared" si="465"/>
        <v>Off</v>
      </c>
      <c r="O2873" t="str">
        <f t="shared" si="465"/>
        <v>Off</v>
      </c>
      <c r="P2873" t="str">
        <f t="shared" si="465"/>
        <v>Off</v>
      </c>
      <c r="Q2873" t="str">
        <f t="shared" si="465"/>
        <v>Off</v>
      </c>
    </row>
    <row r="2874" spans="1:17">
      <c r="A2874" t="s">
        <v>3616</v>
      </c>
      <c r="B2874" t="str">
        <f t="shared" si="465"/>
        <v>Off</v>
      </c>
      <c r="C2874" t="str">
        <f t="shared" si="465"/>
        <v>Off</v>
      </c>
      <c r="D2874" t="str">
        <f t="shared" si="465"/>
        <v>Off</v>
      </c>
      <c r="E2874" t="str">
        <f t="shared" si="465"/>
        <v>Off</v>
      </c>
      <c r="F2874" t="str">
        <f t="shared" si="465"/>
        <v>Off</v>
      </c>
      <c r="G2874" t="str">
        <f t="shared" si="465"/>
        <v>Off</v>
      </c>
      <c r="H2874" t="str">
        <f t="shared" si="465"/>
        <v>Off</v>
      </c>
      <c r="I2874" t="str">
        <f t="shared" si="465"/>
        <v>Off</v>
      </c>
      <c r="J2874" t="str">
        <f t="shared" si="465"/>
        <v>Off</v>
      </c>
      <c r="K2874" t="str">
        <f t="shared" si="465"/>
        <v>Off</v>
      </c>
      <c r="L2874" t="str">
        <f t="shared" si="465"/>
        <v>Off</v>
      </c>
      <c r="M2874" t="str">
        <f t="shared" si="465"/>
        <v>Off</v>
      </c>
      <c r="N2874" t="str">
        <f t="shared" si="465"/>
        <v>Off</v>
      </c>
      <c r="O2874" t="str">
        <f t="shared" si="465"/>
        <v>Off</v>
      </c>
      <c r="P2874" t="str">
        <f t="shared" si="465"/>
        <v>Off</v>
      </c>
      <c r="Q2874" t="str">
        <f t="shared" si="465"/>
        <v>Off</v>
      </c>
    </row>
    <row r="2875" spans="1:17">
      <c r="A2875" t="s">
        <v>3617</v>
      </c>
      <c r="B2875">
        <v>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</row>
    <row r="2876" spans="1:17">
      <c r="A2876" t="s">
        <v>3600</v>
      </c>
      <c r="B2876">
        <v>0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</row>
    <row r="2877" spans="1:17">
      <c r="A2877" t="s">
        <v>3601</v>
      </c>
      <c r="B2877" t="str">
        <f t="shared" ref="B2877:Q2879" si="466">"Off"</f>
        <v>Off</v>
      </c>
      <c r="C2877" t="str">
        <f t="shared" si="466"/>
        <v>Off</v>
      </c>
      <c r="D2877" t="str">
        <f t="shared" si="466"/>
        <v>Off</v>
      </c>
      <c r="E2877" t="str">
        <f t="shared" si="466"/>
        <v>Off</v>
      </c>
      <c r="F2877" t="str">
        <f t="shared" si="466"/>
        <v>Off</v>
      </c>
      <c r="G2877" t="str">
        <f t="shared" si="466"/>
        <v>Off</v>
      </c>
      <c r="H2877" t="str">
        <f t="shared" si="466"/>
        <v>Off</v>
      </c>
      <c r="I2877" t="str">
        <f t="shared" si="466"/>
        <v>Off</v>
      </c>
      <c r="J2877" t="str">
        <f t="shared" si="466"/>
        <v>Off</v>
      </c>
      <c r="K2877" t="str">
        <f t="shared" si="466"/>
        <v>Off</v>
      </c>
      <c r="L2877" t="str">
        <f t="shared" si="466"/>
        <v>Off</v>
      </c>
      <c r="M2877" t="str">
        <f t="shared" si="466"/>
        <v>Off</v>
      </c>
      <c r="N2877" t="str">
        <f t="shared" si="466"/>
        <v>Off</v>
      </c>
      <c r="O2877" t="str">
        <f t="shared" si="466"/>
        <v>Off</v>
      </c>
      <c r="P2877" t="str">
        <f t="shared" si="466"/>
        <v>Off</v>
      </c>
      <c r="Q2877" t="str">
        <f t="shared" si="466"/>
        <v>Off</v>
      </c>
    </row>
    <row r="2878" spans="1:17">
      <c r="A2878" t="s">
        <v>3602</v>
      </c>
      <c r="B2878" t="str">
        <f t="shared" si="466"/>
        <v>Off</v>
      </c>
      <c r="C2878" t="str">
        <f t="shared" si="466"/>
        <v>Off</v>
      </c>
      <c r="D2878" t="str">
        <f t="shared" si="466"/>
        <v>Off</v>
      </c>
      <c r="E2878" t="str">
        <f t="shared" si="466"/>
        <v>Off</v>
      </c>
      <c r="F2878" t="str">
        <f t="shared" si="466"/>
        <v>Off</v>
      </c>
      <c r="G2878" t="str">
        <f t="shared" si="466"/>
        <v>Off</v>
      </c>
      <c r="H2878" t="str">
        <f t="shared" si="466"/>
        <v>Off</v>
      </c>
      <c r="I2878" t="str">
        <f t="shared" si="466"/>
        <v>Off</v>
      </c>
      <c r="J2878" t="str">
        <f t="shared" si="466"/>
        <v>Off</v>
      </c>
      <c r="K2878" t="str">
        <f t="shared" si="466"/>
        <v>Off</v>
      </c>
      <c r="L2878" t="str">
        <f t="shared" si="466"/>
        <v>Off</v>
      </c>
      <c r="M2878" t="str">
        <f t="shared" si="466"/>
        <v>Off</v>
      </c>
      <c r="N2878" t="str">
        <f t="shared" si="466"/>
        <v>Off</v>
      </c>
      <c r="O2878" t="str">
        <f t="shared" si="466"/>
        <v>Off</v>
      </c>
      <c r="P2878" t="str">
        <f t="shared" si="466"/>
        <v>Off</v>
      </c>
      <c r="Q2878" t="str">
        <f t="shared" si="466"/>
        <v>Off</v>
      </c>
    </row>
    <row r="2879" spans="1:17">
      <c r="A2879" t="s">
        <v>3618</v>
      </c>
      <c r="B2879" t="str">
        <f t="shared" si="466"/>
        <v>Off</v>
      </c>
      <c r="C2879" t="str">
        <f t="shared" si="466"/>
        <v>Off</v>
      </c>
      <c r="D2879" t="str">
        <f t="shared" si="466"/>
        <v>Off</v>
      </c>
      <c r="E2879" t="str">
        <f t="shared" si="466"/>
        <v>Off</v>
      </c>
      <c r="F2879" t="str">
        <f t="shared" si="466"/>
        <v>Off</v>
      </c>
      <c r="G2879" t="str">
        <f t="shared" si="466"/>
        <v>Off</v>
      </c>
      <c r="H2879" t="str">
        <f t="shared" si="466"/>
        <v>Off</v>
      </c>
      <c r="I2879" t="str">
        <f t="shared" si="466"/>
        <v>Off</v>
      </c>
      <c r="J2879" t="str">
        <f t="shared" si="466"/>
        <v>Off</v>
      </c>
      <c r="K2879" t="str">
        <f t="shared" si="466"/>
        <v>Off</v>
      </c>
      <c r="L2879" t="str">
        <f t="shared" si="466"/>
        <v>Off</v>
      </c>
      <c r="M2879" t="str">
        <f t="shared" si="466"/>
        <v>Off</v>
      </c>
      <c r="N2879" t="str">
        <f t="shared" si="466"/>
        <v>Off</v>
      </c>
      <c r="O2879" t="str">
        <f t="shared" si="466"/>
        <v>Off</v>
      </c>
      <c r="P2879" t="str">
        <f t="shared" si="466"/>
        <v>Off</v>
      </c>
      <c r="Q2879" t="str">
        <f t="shared" si="466"/>
        <v>Off</v>
      </c>
    </row>
    <row r="2881" spans="1:17">
      <c r="B2881" t="s">
        <v>3619</v>
      </c>
      <c r="C2881">
        <v>25</v>
      </c>
      <c r="D2881">
        <v>16</v>
      </c>
      <c r="E2881">
        <v>1</v>
      </c>
    </row>
    <row r="2882" spans="1:17">
      <c r="B2882" t="s">
        <v>1511</v>
      </c>
      <c r="C2882" t="s">
        <v>1512</v>
      </c>
      <c r="D2882" t="s">
        <v>1513</v>
      </c>
      <c r="E2882" t="s">
        <v>1514</v>
      </c>
      <c r="F2882" t="s">
        <v>1515</v>
      </c>
      <c r="G2882" t="s">
        <v>1516</v>
      </c>
      <c r="H2882" t="s">
        <v>1517</v>
      </c>
      <c r="I2882" t="s">
        <v>1518</v>
      </c>
      <c r="J2882" t="s">
        <v>3604</v>
      </c>
      <c r="K2882" t="s">
        <v>3605</v>
      </c>
      <c r="L2882" t="s">
        <v>3606</v>
      </c>
      <c r="M2882" t="s">
        <v>3607</v>
      </c>
      <c r="N2882" t="s">
        <v>3608</v>
      </c>
      <c r="O2882" t="s">
        <v>3609</v>
      </c>
      <c r="P2882" t="s">
        <v>3610</v>
      </c>
      <c r="Q2882" t="s">
        <v>3611</v>
      </c>
    </row>
    <row r="2883" spans="1:17">
      <c r="A2883" t="s">
        <v>2483</v>
      </c>
      <c r="B2883" t="str">
        <f t="shared" ref="B2883:Q2884" si="467">"Off"</f>
        <v>Off</v>
      </c>
      <c r="C2883" t="str">
        <f t="shared" si="467"/>
        <v>Off</v>
      </c>
      <c r="D2883" t="str">
        <f t="shared" si="467"/>
        <v>Off</v>
      </c>
      <c r="E2883" t="str">
        <f t="shared" si="467"/>
        <v>Off</v>
      </c>
      <c r="F2883" t="str">
        <f t="shared" si="467"/>
        <v>Off</v>
      </c>
      <c r="G2883" t="str">
        <f t="shared" si="467"/>
        <v>Off</v>
      </c>
      <c r="H2883" t="str">
        <f t="shared" si="467"/>
        <v>Off</v>
      </c>
      <c r="I2883" t="str">
        <f t="shared" si="467"/>
        <v>Off</v>
      </c>
      <c r="J2883" t="str">
        <f t="shared" si="467"/>
        <v>Off</v>
      </c>
      <c r="K2883" t="str">
        <f t="shared" si="467"/>
        <v>Off</v>
      </c>
      <c r="L2883" t="str">
        <f t="shared" si="467"/>
        <v>Off</v>
      </c>
      <c r="M2883" t="str">
        <f t="shared" si="467"/>
        <v>Off</v>
      </c>
      <c r="N2883" t="str">
        <f t="shared" si="467"/>
        <v>Off</v>
      </c>
      <c r="O2883" t="str">
        <f t="shared" si="467"/>
        <v>Off</v>
      </c>
      <c r="P2883" t="str">
        <f t="shared" si="467"/>
        <v>Off</v>
      </c>
      <c r="Q2883" t="str">
        <f t="shared" si="467"/>
        <v>Off</v>
      </c>
    </row>
    <row r="2884" spans="1:17">
      <c r="A2884" t="s">
        <v>108</v>
      </c>
      <c r="B2884" t="str">
        <f t="shared" si="467"/>
        <v>Off</v>
      </c>
      <c r="C2884" t="str">
        <f t="shared" si="467"/>
        <v>Off</v>
      </c>
      <c r="D2884" t="str">
        <f t="shared" si="467"/>
        <v>Off</v>
      </c>
      <c r="E2884" t="str">
        <f t="shared" si="467"/>
        <v>Off</v>
      </c>
      <c r="F2884" t="str">
        <f t="shared" si="467"/>
        <v>Off</v>
      </c>
      <c r="G2884" t="str">
        <f t="shared" si="467"/>
        <v>Off</v>
      </c>
      <c r="H2884" t="str">
        <f t="shared" si="467"/>
        <v>Off</v>
      </c>
      <c r="I2884" t="str">
        <f t="shared" si="467"/>
        <v>Off</v>
      </c>
      <c r="J2884" t="str">
        <f t="shared" si="467"/>
        <v>Off</v>
      </c>
      <c r="K2884" t="str">
        <f t="shared" si="467"/>
        <v>Off</v>
      </c>
      <c r="L2884" t="str">
        <f t="shared" si="467"/>
        <v>Off</v>
      </c>
      <c r="M2884" t="str">
        <f t="shared" si="467"/>
        <v>Off</v>
      </c>
      <c r="N2884" t="str">
        <f t="shared" si="467"/>
        <v>Off</v>
      </c>
      <c r="O2884" t="str">
        <f t="shared" si="467"/>
        <v>Off</v>
      </c>
      <c r="P2884" t="str">
        <f t="shared" si="467"/>
        <v>Off</v>
      </c>
      <c r="Q2884" t="str">
        <f t="shared" si="467"/>
        <v>Off</v>
      </c>
    </row>
    <row r="2885" spans="1:17">
      <c r="A2885" t="s">
        <v>2434</v>
      </c>
      <c r="B2885">
        <v>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</row>
    <row r="2886" spans="1:17">
      <c r="A2886" t="s">
        <v>3612</v>
      </c>
      <c r="B2886">
        <v>0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</row>
    <row r="2887" spans="1:17">
      <c r="A2887" t="s">
        <v>3613</v>
      </c>
      <c r="B2887">
        <v>0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</row>
    <row r="2888" spans="1:17">
      <c r="A2888" t="s">
        <v>2783</v>
      </c>
      <c r="B2888">
        <v>0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</row>
    <row r="2889" spans="1:17">
      <c r="A2889" t="s">
        <v>2439</v>
      </c>
      <c r="B2889">
        <v>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</row>
    <row r="2890" spans="1:17">
      <c r="A2890" t="s">
        <v>2435</v>
      </c>
      <c r="B2890">
        <v>0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</row>
    <row r="2891" spans="1:17">
      <c r="A2891" t="s">
        <v>3614</v>
      </c>
      <c r="B2891" t="str">
        <f t="shared" ref="B2891:Q2891" si="468">"NORM"</f>
        <v>NORM</v>
      </c>
      <c r="C2891" t="str">
        <f t="shared" si="468"/>
        <v>NORM</v>
      </c>
      <c r="D2891" t="str">
        <f t="shared" si="468"/>
        <v>NORM</v>
      </c>
      <c r="E2891" t="str">
        <f t="shared" si="468"/>
        <v>NORM</v>
      </c>
      <c r="F2891" t="str">
        <f t="shared" si="468"/>
        <v>NORM</v>
      </c>
      <c r="G2891" t="str">
        <f t="shared" si="468"/>
        <v>NORM</v>
      </c>
      <c r="H2891" t="str">
        <f t="shared" si="468"/>
        <v>NORM</v>
      </c>
      <c r="I2891" t="str">
        <f t="shared" si="468"/>
        <v>NORM</v>
      </c>
      <c r="J2891" t="str">
        <f t="shared" si="468"/>
        <v>NORM</v>
      </c>
      <c r="K2891" t="str">
        <f t="shared" si="468"/>
        <v>NORM</v>
      </c>
      <c r="L2891" t="str">
        <f t="shared" si="468"/>
        <v>NORM</v>
      </c>
      <c r="M2891" t="str">
        <f t="shared" si="468"/>
        <v>NORM</v>
      </c>
      <c r="N2891" t="str">
        <f t="shared" si="468"/>
        <v>NORM</v>
      </c>
      <c r="O2891" t="str">
        <f t="shared" si="468"/>
        <v>NORM</v>
      </c>
      <c r="P2891" t="str">
        <f t="shared" si="468"/>
        <v>NORM</v>
      </c>
      <c r="Q2891" t="str">
        <f t="shared" si="468"/>
        <v>NORM</v>
      </c>
    </row>
    <row r="2892" spans="1:17">
      <c r="A2892" t="s">
        <v>3594</v>
      </c>
      <c r="B2892" t="str">
        <f t="shared" ref="B2892:Q2892" si="469">"Off"</f>
        <v>Off</v>
      </c>
      <c r="C2892" t="str">
        <f t="shared" si="469"/>
        <v>Off</v>
      </c>
      <c r="D2892" t="str">
        <f t="shared" si="469"/>
        <v>Off</v>
      </c>
      <c r="E2892" t="str">
        <f t="shared" si="469"/>
        <v>Off</v>
      </c>
      <c r="F2892" t="str">
        <f t="shared" si="469"/>
        <v>Off</v>
      </c>
      <c r="G2892" t="str">
        <f t="shared" si="469"/>
        <v>Off</v>
      </c>
      <c r="H2892" t="str">
        <f t="shared" si="469"/>
        <v>Off</v>
      </c>
      <c r="I2892" t="str">
        <f t="shared" si="469"/>
        <v>Off</v>
      </c>
      <c r="J2892" t="str">
        <f t="shared" si="469"/>
        <v>Off</v>
      </c>
      <c r="K2892" t="str">
        <f t="shared" si="469"/>
        <v>Off</v>
      </c>
      <c r="L2892" t="str">
        <f t="shared" si="469"/>
        <v>Off</v>
      </c>
      <c r="M2892" t="str">
        <f t="shared" si="469"/>
        <v>Off</v>
      </c>
      <c r="N2892" t="str">
        <f t="shared" si="469"/>
        <v>Off</v>
      </c>
      <c r="O2892" t="str">
        <f t="shared" si="469"/>
        <v>Off</v>
      </c>
      <c r="P2892" t="str">
        <f t="shared" si="469"/>
        <v>Off</v>
      </c>
      <c r="Q2892" t="str">
        <f t="shared" si="469"/>
        <v>Off</v>
      </c>
    </row>
    <row r="2893" spans="1:17">
      <c r="A2893" t="s">
        <v>3595</v>
      </c>
      <c r="B2893">
        <v>0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</row>
    <row r="2894" spans="1:17">
      <c r="A2894" t="s">
        <v>3596</v>
      </c>
      <c r="B2894">
        <v>0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</row>
    <row r="2895" spans="1:17">
      <c r="A2895" t="s">
        <v>3615</v>
      </c>
      <c r="B2895" t="str">
        <f t="shared" ref="B2895:Q2895" si="470">"Off"</f>
        <v>Off</v>
      </c>
      <c r="C2895" t="str">
        <f t="shared" si="470"/>
        <v>Off</v>
      </c>
      <c r="D2895" t="str">
        <f t="shared" si="470"/>
        <v>Off</v>
      </c>
      <c r="E2895" t="str">
        <f t="shared" si="470"/>
        <v>Off</v>
      </c>
      <c r="F2895" t="str">
        <f t="shared" si="470"/>
        <v>Off</v>
      </c>
      <c r="G2895" t="str">
        <f t="shared" si="470"/>
        <v>Off</v>
      </c>
      <c r="H2895" t="str">
        <f t="shared" si="470"/>
        <v>Off</v>
      </c>
      <c r="I2895" t="str">
        <f t="shared" si="470"/>
        <v>Off</v>
      </c>
      <c r="J2895" t="str">
        <f t="shared" si="470"/>
        <v>Off</v>
      </c>
      <c r="K2895" t="str">
        <f t="shared" si="470"/>
        <v>Off</v>
      </c>
      <c r="L2895" t="str">
        <f t="shared" si="470"/>
        <v>Off</v>
      </c>
      <c r="M2895" t="str">
        <f t="shared" si="470"/>
        <v>Off</v>
      </c>
      <c r="N2895" t="str">
        <f t="shared" si="470"/>
        <v>Off</v>
      </c>
      <c r="O2895" t="str">
        <f t="shared" si="470"/>
        <v>Off</v>
      </c>
      <c r="P2895" t="str">
        <f t="shared" si="470"/>
        <v>Off</v>
      </c>
      <c r="Q2895" t="str">
        <f t="shared" si="470"/>
        <v>Off</v>
      </c>
    </row>
    <row r="2896" spans="1:17">
      <c r="A2896" t="s">
        <v>2436</v>
      </c>
      <c r="B2896">
        <v>0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</row>
    <row r="2897" spans="1:17">
      <c r="A2897" t="s">
        <v>2437</v>
      </c>
      <c r="B2897">
        <v>0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</row>
    <row r="2898" spans="1:17">
      <c r="A2898" t="s">
        <v>109</v>
      </c>
      <c r="B2898" t="str">
        <f t="shared" ref="B2898:Q2899" si="471">"Off"</f>
        <v>Off</v>
      </c>
      <c r="C2898" t="str">
        <f t="shared" si="471"/>
        <v>Off</v>
      </c>
      <c r="D2898" t="str">
        <f t="shared" si="471"/>
        <v>Off</v>
      </c>
      <c r="E2898" t="str">
        <f t="shared" si="471"/>
        <v>Off</v>
      </c>
      <c r="F2898" t="str">
        <f t="shared" si="471"/>
        <v>Off</v>
      </c>
      <c r="G2898" t="str">
        <f t="shared" si="471"/>
        <v>Off</v>
      </c>
      <c r="H2898" t="str">
        <f t="shared" si="471"/>
        <v>Off</v>
      </c>
      <c r="I2898" t="str">
        <f t="shared" si="471"/>
        <v>Off</v>
      </c>
      <c r="J2898" t="str">
        <f t="shared" si="471"/>
        <v>Off</v>
      </c>
      <c r="K2898" t="str">
        <f t="shared" si="471"/>
        <v>Off</v>
      </c>
      <c r="L2898" t="str">
        <f t="shared" si="471"/>
        <v>Off</v>
      </c>
      <c r="M2898" t="str">
        <f t="shared" si="471"/>
        <v>Off</v>
      </c>
      <c r="N2898" t="str">
        <f t="shared" si="471"/>
        <v>Off</v>
      </c>
      <c r="O2898" t="str">
        <f t="shared" si="471"/>
        <v>Off</v>
      </c>
      <c r="P2898" t="str">
        <f t="shared" si="471"/>
        <v>Off</v>
      </c>
      <c r="Q2898" t="str">
        <f t="shared" si="471"/>
        <v>Off</v>
      </c>
    </row>
    <row r="2899" spans="1:17">
      <c r="A2899" t="s">
        <v>3597</v>
      </c>
      <c r="B2899" t="str">
        <f t="shared" si="471"/>
        <v>Off</v>
      </c>
      <c r="C2899" t="str">
        <f t="shared" si="471"/>
        <v>Off</v>
      </c>
      <c r="D2899" t="str">
        <f t="shared" si="471"/>
        <v>Off</v>
      </c>
      <c r="E2899" t="str">
        <f t="shared" si="471"/>
        <v>Off</v>
      </c>
      <c r="F2899" t="str">
        <f t="shared" si="471"/>
        <v>Off</v>
      </c>
      <c r="G2899" t="str">
        <f t="shared" si="471"/>
        <v>Off</v>
      </c>
      <c r="H2899" t="str">
        <f t="shared" si="471"/>
        <v>Off</v>
      </c>
      <c r="I2899" t="str">
        <f t="shared" si="471"/>
        <v>Off</v>
      </c>
      <c r="J2899" t="str">
        <f t="shared" si="471"/>
        <v>Off</v>
      </c>
      <c r="K2899" t="str">
        <f t="shared" si="471"/>
        <v>Off</v>
      </c>
      <c r="L2899" t="str">
        <f t="shared" si="471"/>
        <v>Off</v>
      </c>
      <c r="M2899" t="str">
        <f t="shared" si="471"/>
        <v>Off</v>
      </c>
      <c r="N2899" t="str">
        <f t="shared" si="471"/>
        <v>Off</v>
      </c>
      <c r="O2899" t="str">
        <f t="shared" si="471"/>
        <v>Off</v>
      </c>
      <c r="P2899" t="str">
        <f t="shared" si="471"/>
        <v>Off</v>
      </c>
      <c r="Q2899" t="str">
        <f t="shared" si="471"/>
        <v>Off</v>
      </c>
    </row>
    <row r="2900" spans="1:17">
      <c r="A2900" t="s">
        <v>3598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</row>
    <row r="2901" spans="1:17">
      <c r="A2901" t="s">
        <v>3599</v>
      </c>
      <c r="B2901" t="str">
        <f t="shared" ref="B2901:Q2902" si="472">"Off"</f>
        <v>Off</v>
      </c>
      <c r="C2901" t="str">
        <f t="shared" si="472"/>
        <v>Off</v>
      </c>
      <c r="D2901" t="str">
        <f t="shared" si="472"/>
        <v>Off</v>
      </c>
      <c r="E2901" t="str">
        <f t="shared" si="472"/>
        <v>Off</v>
      </c>
      <c r="F2901" t="str">
        <f t="shared" si="472"/>
        <v>Off</v>
      </c>
      <c r="G2901" t="str">
        <f t="shared" si="472"/>
        <v>Off</v>
      </c>
      <c r="H2901" t="str">
        <f t="shared" si="472"/>
        <v>Off</v>
      </c>
      <c r="I2901" t="str">
        <f t="shared" si="472"/>
        <v>Off</v>
      </c>
      <c r="J2901" t="str">
        <f t="shared" si="472"/>
        <v>Off</v>
      </c>
      <c r="K2901" t="str">
        <f t="shared" si="472"/>
        <v>Off</v>
      </c>
      <c r="L2901" t="str">
        <f t="shared" si="472"/>
        <v>Off</v>
      </c>
      <c r="M2901" t="str">
        <f t="shared" si="472"/>
        <v>Off</v>
      </c>
      <c r="N2901" t="str">
        <f t="shared" si="472"/>
        <v>Off</v>
      </c>
      <c r="O2901" t="str">
        <f t="shared" si="472"/>
        <v>Off</v>
      </c>
      <c r="P2901" t="str">
        <f t="shared" si="472"/>
        <v>Off</v>
      </c>
      <c r="Q2901" t="str">
        <f t="shared" si="472"/>
        <v>Off</v>
      </c>
    </row>
    <row r="2902" spans="1:17">
      <c r="A2902" t="s">
        <v>3616</v>
      </c>
      <c r="B2902" t="str">
        <f t="shared" si="472"/>
        <v>Off</v>
      </c>
      <c r="C2902" t="str">
        <f t="shared" si="472"/>
        <v>Off</v>
      </c>
      <c r="D2902" t="str">
        <f t="shared" si="472"/>
        <v>Off</v>
      </c>
      <c r="E2902" t="str">
        <f t="shared" si="472"/>
        <v>Off</v>
      </c>
      <c r="F2902" t="str">
        <f t="shared" si="472"/>
        <v>Off</v>
      </c>
      <c r="G2902" t="str">
        <f t="shared" si="472"/>
        <v>Off</v>
      </c>
      <c r="H2902" t="str">
        <f t="shared" si="472"/>
        <v>Off</v>
      </c>
      <c r="I2902" t="str">
        <f t="shared" si="472"/>
        <v>Off</v>
      </c>
      <c r="J2902" t="str">
        <f t="shared" si="472"/>
        <v>Off</v>
      </c>
      <c r="K2902" t="str">
        <f t="shared" si="472"/>
        <v>Off</v>
      </c>
      <c r="L2902" t="str">
        <f t="shared" si="472"/>
        <v>Off</v>
      </c>
      <c r="M2902" t="str">
        <f t="shared" si="472"/>
        <v>Off</v>
      </c>
      <c r="N2902" t="str">
        <f t="shared" si="472"/>
        <v>Off</v>
      </c>
      <c r="O2902" t="str">
        <f t="shared" si="472"/>
        <v>Off</v>
      </c>
      <c r="P2902" t="str">
        <f t="shared" si="472"/>
        <v>Off</v>
      </c>
      <c r="Q2902" t="str">
        <f t="shared" si="472"/>
        <v>Off</v>
      </c>
    </row>
    <row r="2903" spans="1:17">
      <c r="A2903" t="s">
        <v>3617</v>
      </c>
      <c r="B2903">
        <v>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</row>
    <row r="2904" spans="1:17">
      <c r="A2904" t="s">
        <v>3600</v>
      </c>
      <c r="B2904">
        <v>0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</row>
    <row r="2905" spans="1:17">
      <c r="A2905" t="s">
        <v>3601</v>
      </c>
      <c r="B2905" t="str">
        <f t="shared" ref="B2905:Q2907" si="473">"Off"</f>
        <v>Off</v>
      </c>
      <c r="C2905" t="str">
        <f t="shared" si="473"/>
        <v>Off</v>
      </c>
      <c r="D2905" t="str">
        <f t="shared" si="473"/>
        <v>Off</v>
      </c>
      <c r="E2905" t="str">
        <f t="shared" si="473"/>
        <v>Off</v>
      </c>
      <c r="F2905" t="str">
        <f t="shared" si="473"/>
        <v>Off</v>
      </c>
      <c r="G2905" t="str">
        <f t="shared" si="473"/>
        <v>Off</v>
      </c>
      <c r="H2905" t="str">
        <f t="shared" si="473"/>
        <v>Off</v>
      </c>
      <c r="I2905" t="str">
        <f t="shared" si="473"/>
        <v>Off</v>
      </c>
      <c r="J2905" t="str">
        <f t="shared" si="473"/>
        <v>Off</v>
      </c>
      <c r="K2905" t="str">
        <f t="shared" si="473"/>
        <v>Off</v>
      </c>
      <c r="L2905" t="str">
        <f t="shared" si="473"/>
        <v>Off</v>
      </c>
      <c r="M2905" t="str">
        <f t="shared" si="473"/>
        <v>Off</v>
      </c>
      <c r="N2905" t="str">
        <f t="shared" si="473"/>
        <v>Off</v>
      </c>
      <c r="O2905" t="str">
        <f t="shared" si="473"/>
        <v>Off</v>
      </c>
      <c r="P2905" t="str">
        <f t="shared" si="473"/>
        <v>Off</v>
      </c>
      <c r="Q2905" t="str">
        <f t="shared" si="473"/>
        <v>Off</v>
      </c>
    </row>
    <row r="2906" spans="1:17">
      <c r="A2906" t="s">
        <v>3602</v>
      </c>
      <c r="B2906" t="str">
        <f t="shared" si="473"/>
        <v>Off</v>
      </c>
      <c r="C2906" t="str">
        <f t="shared" si="473"/>
        <v>Off</v>
      </c>
      <c r="D2906" t="str">
        <f t="shared" si="473"/>
        <v>Off</v>
      </c>
      <c r="E2906" t="str">
        <f t="shared" si="473"/>
        <v>Off</v>
      </c>
      <c r="F2906" t="str">
        <f t="shared" si="473"/>
        <v>Off</v>
      </c>
      <c r="G2906" t="str">
        <f t="shared" si="473"/>
        <v>Off</v>
      </c>
      <c r="H2906" t="str">
        <f t="shared" si="473"/>
        <v>Off</v>
      </c>
      <c r="I2906" t="str">
        <f t="shared" si="473"/>
        <v>Off</v>
      </c>
      <c r="J2906" t="str">
        <f t="shared" si="473"/>
        <v>Off</v>
      </c>
      <c r="K2906" t="str">
        <f t="shared" si="473"/>
        <v>Off</v>
      </c>
      <c r="L2906" t="str">
        <f t="shared" si="473"/>
        <v>Off</v>
      </c>
      <c r="M2906" t="str">
        <f t="shared" si="473"/>
        <v>Off</v>
      </c>
      <c r="N2906" t="str">
        <f t="shared" si="473"/>
        <v>Off</v>
      </c>
      <c r="O2906" t="str">
        <f t="shared" si="473"/>
        <v>Off</v>
      </c>
      <c r="P2906" t="str">
        <f t="shared" si="473"/>
        <v>Off</v>
      </c>
      <c r="Q2906" t="str">
        <f t="shared" si="473"/>
        <v>Off</v>
      </c>
    </row>
    <row r="2907" spans="1:17">
      <c r="A2907" t="s">
        <v>3618</v>
      </c>
      <c r="B2907" t="str">
        <f t="shared" si="473"/>
        <v>Off</v>
      </c>
      <c r="C2907" t="str">
        <f t="shared" si="473"/>
        <v>Off</v>
      </c>
      <c r="D2907" t="str">
        <f t="shared" si="473"/>
        <v>Off</v>
      </c>
      <c r="E2907" t="str">
        <f t="shared" si="473"/>
        <v>Off</v>
      </c>
      <c r="F2907" t="str">
        <f t="shared" si="473"/>
        <v>Off</v>
      </c>
      <c r="G2907" t="str">
        <f t="shared" si="473"/>
        <v>Off</v>
      </c>
      <c r="H2907" t="str">
        <f t="shared" si="473"/>
        <v>Off</v>
      </c>
      <c r="I2907" t="str">
        <f t="shared" si="473"/>
        <v>Off</v>
      </c>
      <c r="J2907" t="str">
        <f t="shared" si="473"/>
        <v>Off</v>
      </c>
      <c r="K2907" t="str">
        <f t="shared" si="473"/>
        <v>Off</v>
      </c>
      <c r="L2907" t="str">
        <f t="shared" si="473"/>
        <v>Off</v>
      </c>
      <c r="M2907" t="str">
        <f t="shared" si="473"/>
        <v>Off</v>
      </c>
      <c r="N2907" t="str">
        <f t="shared" si="473"/>
        <v>Off</v>
      </c>
      <c r="O2907" t="str">
        <f t="shared" si="473"/>
        <v>Off</v>
      </c>
      <c r="P2907" t="str">
        <f t="shared" si="473"/>
        <v>Off</v>
      </c>
      <c r="Q2907" t="str">
        <f t="shared" si="473"/>
        <v>Off</v>
      </c>
    </row>
    <row r="2909" spans="1:17">
      <c r="B2909" t="s">
        <v>3620</v>
      </c>
      <c r="C2909">
        <v>25</v>
      </c>
      <c r="D2909">
        <v>16</v>
      </c>
      <c r="E2909">
        <v>1</v>
      </c>
    </row>
    <row r="2910" spans="1:17">
      <c r="B2910" t="s">
        <v>1511</v>
      </c>
      <c r="C2910" t="s">
        <v>1512</v>
      </c>
      <c r="D2910" t="s">
        <v>1513</v>
      </c>
      <c r="E2910" t="s">
        <v>1514</v>
      </c>
      <c r="F2910" t="s">
        <v>1515</v>
      </c>
      <c r="G2910" t="s">
        <v>1516</v>
      </c>
      <c r="H2910" t="s">
        <v>1517</v>
      </c>
      <c r="I2910" t="s">
        <v>1518</v>
      </c>
      <c r="J2910" t="s">
        <v>3604</v>
      </c>
      <c r="K2910" t="s">
        <v>3605</v>
      </c>
      <c r="L2910" t="s">
        <v>3606</v>
      </c>
      <c r="M2910" t="s">
        <v>3607</v>
      </c>
      <c r="N2910" t="s">
        <v>3608</v>
      </c>
      <c r="O2910" t="s">
        <v>3609</v>
      </c>
      <c r="P2910" t="s">
        <v>3610</v>
      </c>
      <c r="Q2910" t="s">
        <v>3611</v>
      </c>
    </row>
    <row r="2911" spans="1:17">
      <c r="A2911" t="s">
        <v>2483</v>
      </c>
      <c r="B2911" t="str">
        <f t="shared" ref="B2911:Q2912" si="474">"Off"</f>
        <v>Off</v>
      </c>
      <c r="C2911" t="str">
        <f t="shared" si="474"/>
        <v>Off</v>
      </c>
      <c r="D2911" t="str">
        <f t="shared" si="474"/>
        <v>Off</v>
      </c>
      <c r="E2911" t="str">
        <f t="shared" si="474"/>
        <v>Off</v>
      </c>
      <c r="F2911" t="str">
        <f t="shared" si="474"/>
        <v>Off</v>
      </c>
      <c r="G2911" t="str">
        <f t="shared" si="474"/>
        <v>Off</v>
      </c>
      <c r="H2911" t="str">
        <f t="shared" si="474"/>
        <v>Off</v>
      </c>
      <c r="I2911" t="str">
        <f t="shared" si="474"/>
        <v>Off</v>
      </c>
      <c r="J2911" t="str">
        <f t="shared" si="474"/>
        <v>Off</v>
      </c>
      <c r="K2911" t="str">
        <f t="shared" si="474"/>
        <v>Off</v>
      </c>
      <c r="L2911" t="str">
        <f t="shared" si="474"/>
        <v>Off</v>
      </c>
      <c r="M2911" t="str">
        <f t="shared" si="474"/>
        <v>Off</v>
      </c>
      <c r="N2911" t="str">
        <f t="shared" si="474"/>
        <v>Off</v>
      </c>
      <c r="O2911" t="str">
        <f t="shared" si="474"/>
        <v>Off</v>
      </c>
      <c r="P2911" t="str">
        <f t="shared" si="474"/>
        <v>Off</v>
      </c>
      <c r="Q2911" t="str">
        <f t="shared" si="474"/>
        <v>Off</v>
      </c>
    </row>
    <row r="2912" spans="1:17">
      <c r="A2912" t="s">
        <v>108</v>
      </c>
      <c r="B2912" t="str">
        <f t="shared" si="474"/>
        <v>Off</v>
      </c>
      <c r="C2912" t="str">
        <f t="shared" si="474"/>
        <v>Off</v>
      </c>
      <c r="D2912" t="str">
        <f t="shared" si="474"/>
        <v>Off</v>
      </c>
      <c r="E2912" t="str">
        <f t="shared" si="474"/>
        <v>Off</v>
      </c>
      <c r="F2912" t="str">
        <f t="shared" si="474"/>
        <v>Off</v>
      </c>
      <c r="G2912" t="str">
        <f t="shared" si="474"/>
        <v>Off</v>
      </c>
      <c r="H2912" t="str">
        <f t="shared" si="474"/>
        <v>Off</v>
      </c>
      <c r="I2912" t="str">
        <f t="shared" si="474"/>
        <v>Off</v>
      </c>
      <c r="J2912" t="str">
        <f t="shared" si="474"/>
        <v>Off</v>
      </c>
      <c r="K2912" t="str">
        <f t="shared" si="474"/>
        <v>Off</v>
      </c>
      <c r="L2912" t="str">
        <f t="shared" si="474"/>
        <v>Off</v>
      </c>
      <c r="M2912" t="str">
        <f t="shared" si="474"/>
        <v>Off</v>
      </c>
      <c r="N2912" t="str">
        <f t="shared" si="474"/>
        <v>Off</v>
      </c>
      <c r="O2912" t="str">
        <f t="shared" si="474"/>
        <v>Off</v>
      </c>
      <c r="P2912" t="str">
        <f t="shared" si="474"/>
        <v>Off</v>
      </c>
      <c r="Q2912" t="str">
        <f t="shared" si="474"/>
        <v>Off</v>
      </c>
    </row>
    <row r="2913" spans="1:17">
      <c r="A2913" t="s">
        <v>2434</v>
      </c>
      <c r="B2913">
        <v>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</row>
    <row r="2914" spans="1:17">
      <c r="A2914" t="s">
        <v>3612</v>
      </c>
      <c r="B2914">
        <v>0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</row>
    <row r="2915" spans="1:17">
      <c r="A2915" t="s">
        <v>3613</v>
      </c>
      <c r="B2915">
        <v>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</row>
    <row r="2916" spans="1:17">
      <c r="A2916" t="s">
        <v>2783</v>
      </c>
      <c r="B2916">
        <v>0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</row>
    <row r="2917" spans="1:17">
      <c r="A2917" t="s">
        <v>2439</v>
      </c>
      <c r="B2917">
        <v>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</row>
    <row r="2918" spans="1:17">
      <c r="A2918" t="s">
        <v>2435</v>
      </c>
      <c r="B2918">
        <v>0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</row>
    <row r="2919" spans="1:17">
      <c r="A2919" t="s">
        <v>3614</v>
      </c>
      <c r="B2919" t="str">
        <f t="shared" ref="B2919:Q2919" si="475">"NORM"</f>
        <v>NORM</v>
      </c>
      <c r="C2919" t="str">
        <f t="shared" si="475"/>
        <v>NORM</v>
      </c>
      <c r="D2919" t="str">
        <f t="shared" si="475"/>
        <v>NORM</v>
      </c>
      <c r="E2919" t="str">
        <f t="shared" si="475"/>
        <v>NORM</v>
      </c>
      <c r="F2919" t="str">
        <f t="shared" si="475"/>
        <v>NORM</v>
      </c>
      <c r="G2919" t="str">
        <f t="shared" si="475"/>
        <v>NORM</v>
      </c>
      <c r="H2919" t="str">
        <f t="shared" si="475"/>
        <v>NORM</v>
      </c>
      <c r="I2919" t="str">
        <f t="shared" si="475"/>
        <v>NORM</v>
      </c>
      <c r="J2919" t="str">
        <f t="shared" si="475"/>
        <v>NORM</v>
      </c>
      <c r="K2919" t="str">
        <f t="shared" si="475"/>
        <v>NORM</v>
      </c>
      <c r="L2919" t="str">
        <f t="shared" si="475"/>
        <v>NORM</v>
      </c>
      <c r="M2919" t="str">
        <f t="shared" si="475"/>
        <v>NORM</v>
      </c>
      <c r="N2919" t="str">
        <f t="shared" si="475"/>
        <v>NORM</v>
      </c>
      <c r="O2919" t="str">
        <f t="shared" si="475"/>
        <v>NORM</v>
      </c>
      <c r="P2919" t="str">
        <f t="shared" si="475"/>
        <v>NORM</v>
      </c>
      <c r="Q2919" t="str">
        <f t="shared" si="475"/>
        <v>NORM</v>
      </c>
    </row>
    <row r="2920" spans="1:17">
      <c r="A2920" t="s">
        <v>3594</v>
      </c>
      <c r="B2920" t="str">
        <f t="shared" ref="B2920:Q2920" si="476">"Off"</f>
        <v>Off</v>
      </c>
      <c r="C2920" t="str">
        <f t="shared" si="476"/>
        <v>Off</v>
      </c>
      <c r="D2920" t="str">
        <f t="shared" si="476"/>
        <v>Off</v>
      </c>
      <c r="E2920" t="str">
        <f t="shared" si="476"/>
        <v>Off</v>
      </c>
      <c r="F2920" t="str">
        <f t="shared" si="476"/>
        <v>Off</v>
      </c>
      <c r="G2920" t="str">
        <f t="shared" si="476"/>
        <v>Off</v>
      </c>
      <c r="H2920" t="str">
        <f t="shared" si="476"/>
        <v>Off</v>
      </c>
      <c r="I2920" t="str">
        <f t="shared" si="476"/>
        <v>Off</v>
      </c>
      <c r="J2920" t="str">
        <f t="shared" si="476"/>
        <v>Off</v>
      </c>
      <c r="K2920" t="str">
        <f t="shared" si="476"/>
        <v>Off</v>
      </c>
      <c r="L2920" t="str">
        <f t="shared" si="476"/>
        <v>Off</v>
      </c>
      <c r="M2920" t="str">
        <f t="shared" si="476"/>
        <v>Off</v>
      </c>
      <c r="N2920" t="str">
        <f t="shared" si="476"/>
        <v>Off</v>
      </c>
      <c r="O2920" t="str">
        <f t="shared" si="476"/>
        <v>Off</v>
      </c>
      <c r="P2920" t="str">
        <f t="shared" si="476"/>
        <v>Off</v>
      </c>
      <c r="Q2920" t="str">
        <f t="shared" si="476"/>
        <v>Off</v>
      </c>
    </row>
    <row r="2921" spans="1:17">
      <c r="A2921" t="s">
        <v>3595</v>
      </c>
      <c r="B2921">
        <v>0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</row>
    <row r="2922" spans="1:17">
      <c r="A2922" t="s">
        <v>3596</v>
      </c>
      <c r="B2922">
        <v>0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</row>
    <row r="2923" spans="1:17">
      <c r="A2923" t="s">
        <v>3615</v>
      </c>
      <c r="B2923" t="str">
        <f t="shared" ref="B2923:Q2923" si="477">"Off"</f>
        <v>Off</v>
      </c>
      <c r="C2923" t="str">
        <f t="shared" si="477"/>
        <v>Off</v>
      </c>
      <c r="D2923" t="str">
        <f t="shared" si="477"/>
        <v>Off</v>
      </c>
      <c r="E2923" t="str">
        <f t="shared" si="477"/>
        <v>Off</v>
      </c>
      <c r="F2923" t="str">
        <f t="shared" si="477"/>
        <v>Off</v>
      </c>
      <c r="G2923" t="str">
        <f t="shared" si="477"/>
        <v>Off</v>
      </c>
      <c r="H2923" t="str">
        <f t="shared" si="477"/>
        <v>Off</v>
      </c>
      <c r="I2923" t="str">
        <f t="shared" si="477"/>
        <v>Off</v>
      </c>
      <c r="J2923" t="str">
        <f t="shared" si="477"/>
        <v>Off</v>
      </c>
      <c r="K2923" t="str">
        <f t="shared" si="477"/>
        <v>Off</v>
      </c>
      <c r="L2923" t="str">
        <f t="shared" si="477"/>
        <v>Off</v>
      </c>
      <c r="M2923" t="str">
        <f t="shared" si="477"/>
        <v>Off</v>
      </c>
      <c r="N2923" t="str">
        <f t="shared" si="477"/>
        <v>Off</v>
      </c>
      <c r="O2923" t="str">
        <f t="shared" si="477"/>
        <v>Off</v>
      </c>
      <c r="P2923" t="str">
        <f t="shared" si="477"/>
        <v>Off</v>
      </c>
      <c r="Q2923" t="str">
        <f t="shared" si="477"/>
        <v>Off</v>
      </c>
    </row>
    <row r="2924" spans="1:17">
      <c r="A2924" t="s">
        <v>2436</v>
      </c>
      <c r="B2924">
        <v>0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</row>
    <row r="2925" spans="1:17">
      <c r="A2925" t="s">
        <v>2437</v>
      </c>
      <c r="B2925">
        <v>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</row>
    <row r="2926" spans="1:17">
      <c r="A2926" t="s">
        <v>109</v>
      </c>
      <c r="B2926" t="str">
        <f t="shared" ref="B2926:Q2927" si="478">"Off"</f>
        <v>Off</v>
      </c>
      <c r="C2926" t="str">
        <f t="shared" si="478"/>
        <v>Off</v>
      </c>
      <c r="D2926" t="str">
        <f t="shared" si="478"/>
        <v>Off</v>
      </c>
      <c r="E2926" t="str">
        <f t="shared" si="478"/>
        <v>Off</v>
      </c>
      <c r="F2926" t="str">
        <f t="shared" si="478"/>
        <v>Off</v>
      </c>
      <c r="G2926" t="str">
        <f t="shared" si="478"/>
        <v>Off</v>
      </c>
      <c r="H2926" t="str">
        <f t="shared" si="478"/>
        <v>Off</v>
      </c>
      <c r="I2926" t="str">
        <f t="shared" si="478"/>
        <v>Off</v>
      </c>
      <c r="J2926" t="str">
        <f t="shared" si="478"/>
        <v>Off</v>
      </c>
      <c r="K2926" t="str">
        <f t="shared" si="478"/>
        <v>Off</v>
      </c>
      <c r="L2926" t="str">
        <f t="shared" si="478"/>
        <v>Off</v>
      </c>
      <c r="M2926" t="str">
        <f t="shared" si="478"/>
        <v>Off</v>
      </c>
      <c r="N2926" t="str">
        <f t="shared" si="478"/>
        <v>Off</v>
      </c>
      <c r="O2926" t="str">
        <f t="shared" si="478"/>
        <v>Off</v>
      </c>
      <c r="P2926" t="str">
        <f t="shared" si="478"/>
        <v>Off</v>
      </c>
      <c r="Q2926" t="str">
        <f t="shared" si="478"/>
        <v>Off</v>
      </c>
    </row>
    <row r="2927" spans="1:17">
      <c r="A2927" t="s">
        <v>3597</v>
      </c>
      <c r="B2927" t="str">
        <f t="shared" si="478"/>
        <v>Off</v>
      </c>
      <c r="C2927" t="str">
        <f t="shared" si="478"/>
        <v>Off</v>
      </c>
      <c r="D2927" t="str">
        <f t="shared" si="478"/>
        <v>Off</v>
      </c>
      <c r="E2927" t="str">
        <f t="shared" si="478"/>
        <v>Off</v>
      </c>
      <c r="F2927" t="str">
        <f t="shared" si="478"/>
        <v>Off</v>
      </c>
      <c r="G2927" t="str">
        <f t="shared" si="478"/>
        <v>Off</v>
      </c>
      <c r="H2927" t="str">
        <f t="shared" si="478"/>
        <v>Off</v>
      </c>
      <c r="I2927" t="str">
        <f t="shared" si="478"/>
        <v>Off</v>
      </c>
      <c r="J2927" t="str">
        <f t="shared" si="478"/>
        <v>Off</v>
      </c>
      <c r="K2927" t="str">
        <f t="shared" si="478"/>
        <v>Off</v>
      </c>
      <c r="L2927" t="str">
        <f t="shared" si="478"/>
        <v>Off</v>
      </c>
      <c r="M2927" t="str">
        <f t="shared" si="478"/>
        <v>Off</v>
      </c>
      <c r="N2927" t="str">
        <f t="shared" si="478"/>
        <v>Off</v>
      </c>
      <c r="O2927" t="str">
        <f t="shared" si="478"/>
        <v>Off</v>
      </c>
      <c r="P2927" t="str">
        <f t="shared" si="478"/>
        <v>Off</v>
      </c>
      <c r="Q2927" t="str">
        <f t="shared" si="478"/>
        <v>Off</v>
      </c>
    </row>
    <row r="2928" spans="1:17">
      <c r="A2928" t="s">
        <v>3598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</row>
    <row r="2929" spans="1:129">
      <c r="A2929" t="s">
        <v>3599</v>
      </c>
      <c r="B2929" t="str">
        <f t="shared" ref="B2929:Q2930" si="479">"Off"</f>
        <v>Off</v>
      </c>
      <c r="C2929" t="str">
        <f t="shared" si="479"/>
        <v>Off</v>
      </c>
      <c r="D2929" t="str">
        <f t="shared" si="479"/>
        <v>Off</v>
      </c>
      <c r="E2929" t="str">
        <f t="shared" si="479"/>
        <v>Off</v>
      </c>
      <c r="F2929" t="str">
        <f t="shared" si="479"/>
        <v>Off</v>
      </c>
      <c r="G2929" t="str">
        <f t="shared" si="479"/>
        <v>Off</v>
      </c>
      <c r="H2929" t="str">
        <f t="shared" si="479"/>
        <v>Off</v>
      </c>
      <c r="I2929" t="str">
        <f t="shared" si="479"/>
        <v>Off</v>
      </c>
      <c r="J2929" t="str">
        <f t="shared" si="479"/>
        <v>Off</v>
      </c>
      <c r="K2929" t="str">
        <f t="shared" si="479"/>
        <v>Off</v>
      </c>
      <c r="L2929" t="str">
        <f t="shared" si="479"/>
        <v>Off</v>
      </c>
      <c r="M2929" t="str">
        <f t="shared" si="479"/>
        <v>Off</v>
      </c>
      <c r="N2929" t="str">
        <f t="shared" si="479"/>
        <v>Off</v>
      </c>
      <c r="O2929" t="str">
        <f t="shared" si="479"/>
        <v>Off</v>
      </c>
      <c r="P2929" t="str">
        <f t="shared" si="479"/>
        <v>Off</v>
      </c>
      <c r="Q2929" t="str">
        <f t="shared" si="479"/>
        <v>Off</v>
      </c>
    </row>
    <row r="2930" spans="1:129">
      <c r="A2930" t="s">
        <v>3616</v>
      </c>
      <c r="B2930" t="str">
        <f t="shared" si="479"/>
        <v>Off</v>
      </c>
      <c r="C2930" t="str">
        <f t="shared" si="479"/>
        <v>Off</v>
      </c>
      <c r="D2930" t="str">
        <f t="shared" si="479"/>
        <v>Off</v>
      </c>
      <c r="E2930" t="str">
        <f t="shared" si="479"/>
        <v>Off</v>
      </c>
      <c r="F2930" t="str">
        <f t="shared" si="479"/>
        <v>Off</v>
      </c>
      <c r="G2930" t="str">
        <f t="shared" si="479"/>
        <v>Off</v>
      </c>
      <c r="H2930" t="str">
        <f t="shared" si="479"/>
        <v>Off</v>
      </c>
      <c r="I2930" t="str">
        <f t="shared" si="479"/>
        <v>Off</v>
      </c>
      <c r="J2930" t="str">
        <f t="shared" si="479"/>
        <v>Off</v>
      </c>
      <c r="K2930" t="str">
        <f t="shared" si="479"/>
        <v>Off</v>
      </c>
      <c r="L2930" t="str">
        <f t="shared" si="479"/>
        <v>Off</v>
      </c>
      <c r="M2930" t="str">
        <f t="shared" si="479"/>
        <v>Off</v>
      </c>
      <c r="N2930" t="str">
        <f t="shared" si="479"/>
        <v>Off</v>
      </c>
      <c r="O2930" t="str">
        <f t="shared" si="479"/>
        <v>Off</v>
      </c>
      <c r="P2930" t="str">
        <f t="shared" si="479"/>
        <v>Off</v>
      </c>
      <c r="Q2930" t="str">
        <f t="shared" si="479"/>
        <v>Off</v>
      </c>
    </row>
    <row r="2931" spans="1:129">
      <c r="A2931" t="s">
        <v>3617</v>
      </c>
      <c r="B2931">
        <v>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</row>
    <row r="2932" spans="1:129">
      <c r="A2932" t="s">
        <v>3600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</row>
    <row r="2933" spans="1:129">
      <c r="A2933" t="s">
        <v>3601</v>
      </c>
      <c r="B2933" t="str">
        <f t="shared" ref="B2933:Q2935" si="480">"Off"</f>
        <v>Off</v>
      </c>
      <c r="C2933" t="str">
        <f t="shared" si="480"/>
        <v>Off</v>
      </c>
      <c r="D2933" t="str">
        <f t="shared" si="480"/>
        <v>Off</v>
      </c>
      <c r="E2933" t="str">
        <f t="shared" si="480"/>
        <v>Off</v>
      </c>
      <c r="F2933" t="str">
        <f t="shared" si="480"/>
        <v>Off</v>
      </c>
      <c r="G2933" t="str">
        <f t="shared" si="480"/>
        <v>Off</v>
      </c>
      <c r="H2933" t="str">
        <f t="shared" si="480"/>
        <v>Off</v>
      </c>
      <c r="I2933" t="str">
        <f t="shared" si="480"/>
        <v>Off</v>
      </c>
      <c r="J2933" t="str">
        <f t="shared" si="480"/>
        <v>Off</v>
      </c>
      <c r="K2933" t="str">
        <f t="shared" si="480"/>
        <v>Off</v>
      </c>
      <c r="L2933" t="str">
        <f t="shared" si="480"/>
        <v>Off</v>
      </c>
      <c r="M2933" t="str">
        <f t="shared" si="480"/>
        <v>Off</v>
      </c>
      <c r="N2933" t="str">
        <f t="shared" si="480"/>
        <v>Off</v>
      </c>
      <c r="O2933" t="str">
        <f t="shared" si="480"/>
        <v>Off</v>
      </c>
      <c r="P2933" t="str">
        <f t="shared" si="480"/>
        <v>Off</v>
      </c>
      <c r="Q2933" t="str">
        <f t="shared" si="480"/>
        <v>Off</v>
      </c>
    </row>
    <row r="2934" spans="1:129">
      <c r="A2934" t="s">
        <v>3602</v>
      </c>
      <c r="B2934" t="str">
        <f t="shared" si="480"/>
        <v>Off</v>
      </c>
      <c r="C2934" t="str">
        <f t="shared" si="480"/>
        <v>Off</v>
      </c>
      <c r="D2934" t="str">
        <f t="shared" si="480"/>
        <v>Off</v>
      </c>
      <c r="E2934" t="str">
        <f t="shared" si="480"/>
        <v>Off</v>
      </c>
      <c r="F2934" t="str">
        <f t="shared" si="480"/>
        <v>Off</v>
      </c>
      <c r="G2934" t="str">
        <f t="shared" si="480"/>
        <v>Off</v>
      </c>
      <c r="H2934" t="str">
        <f t="shared" si="480"/>
        <v>Off</v>
      </c>
      <c r="I2934" t="str">
        <f t="shared" si="480"/>
        <v>Off</v>
      </c>
      <c r="J2934" t="str">
        <f t="shared" si="480"/>
        <v>Off</v>
      </c>
      <c r="K2934" t="str">
        <f t="shared" si="480"/>
        <v>Off</v>
      </c>
      <c r="L2934" t="str">
        <f t="shared" si="480"/>
        <v>Off</v>
      </c>
      <c r="M2934" t="str">
        <f t="shared" si="480"/>
        <v>Off</v>
      </c>
      <c r="N2934" t="str">
        <f t="shared" si="480"/>
        <v>Off</v>
      </c>
      <c r="O2934" t="str">
        <f t="shared" si="480"/>
        <v>Off</v>
      </c>
      <c r="P2934" t="str">
        <f t="shared" si="480"/>
        <v>Off</v>
      </c>
      <c r="Q2934" t="str">
        <f t="shared" si="480"/>
        <v>Off</v>
      </c>
    </row>
    <row r="2935" spans="1:129">
      <c r="A2935" t="s">
        <v>3618</v>
      </c>
      <c r="B2935" t="str">
        <f t="shared" si="480"/>
        <v>Off</v>
      </c>
      <c r="C2935" t="str">
        <f t="shared" si="480"/>
        <v>Off</v>
      </c>
      <c r="D2935" t="str">
        <f t="shared" si="480"/>
        <v>Off</v>
      </c>
      <c r="E2935" t="str">
        <f t="shared" si="480"/>
        <v>Off</v>
      </c>
      <c r="F2935" t="str">
        <f t="shared" si="480"/>
        <v>Off</v>
      </c>
      <c r="G2935" t="str">
        <f t="shared" si="480"/>
        <v>Off</v>
      </c>
      <c r="H2935" t="str">
        <f t="shared" si="480"/>
        <v>Off</v>
      </c>
      <c r="I2935" t="str">
        <f t="shared" si="480"/>
        <v>Off</v>
      </c>
      <c r="J2935" t="str">
        <f t="shared" si="480"/>
        <v>Off</v>
      </c>
      <c r="K2935" t="str">
        <f t="shared" si="480"/>
        <v>Off</v>
      </c>
      <c r="L2935" t="str">
        <f t="shared" si="480"/>
        <v>Off</v>
      </c>
      <c r="M2935" t="str">
        <f t="shared" si="480"/>
        <v>Off</v>
      </c>
      <c r="N2935" t="str">
        <f t="shared" si="480"/>
        <v>Off</v>
      </c>
      <c r="O2935" t="str">
        <f t="shared" si="480"/>
        <v>Off</v>
      </c>
      <c r="P2935" t="str">
        <f t="shared" si="480"/>
        <v>Off</v>
      </c>
      <c r="Q2935" t="str">
        <f t="shared" si="480"/>
        <v>Off</v>
      </c>
    </row>
    <row r="2937" spans="1:129">
      <c r="B2937" t="s">
        <v>3621</v>
      </c>
      <c r="C2937">
        <v>7</v>
      </c>
      <c r="D2937">
        <v>128</v>
      </c>
      <c r="E2937">
        <v>1</v>
      </c>
    </row>
    <row r="2938" spans="1:129">
      <c r="B2938" t="s">
        <v>3622</v>
      </c>
      <c r="C2938" t="s">
        <v>3623</v>
      </c>
      <c r="D2938" t="s">
        <v>3624</v>
      </c>
      <c r="E2938" t="s">
        <v>3625</v>
      </c>
      <c r="F2938" t="s">
        <v>3626</v>
      </c>
      <c r="G2938" t="s">
        <v>3627</v>
      </c>
      <c r="H2938" t="s">
        <v>3628</v>
      </c>
      <c r="I2938" t="s">
        <v>3629</v>
      </c>
      <c r="J2938" t="s">
        <v>3630</v>
      </c>
      <c r="K2938" t="s">
        <v>3631</v>
      </c>
      <c r="L2938" t="s">
        <v>3632</v>
      </c>
      <c r="M2938" t="s">
        <v>3633</v>
      </c>
      <c r="N2938" t="s">
        <v>3634</v>
      </c>
      <c r="O2938" t="s">
        <v>3635</v>
      </c>
      <c r="P2938" t="s">
        <v>3636</v>
      </c>
      <c r="Q2938" t="s">
        <v>3637</v>
      </c>
      <c r="R2938" t="s">
        <v>3638</v>
      </c>
      <c r="S2938" t="s">
        <v>3639</v>
      </c>
      <c r="T2938" t="s">
        <v>3640</v>
      </c>
      <c r="U2938" t="s">
        <v>3641</v>
      </c>
      <c r="V2938" t="s">
        <v>3642</v>
      </c>
      <c r="W2938" t="s">
        <v>3643</v>
      </c>
      <c r="X2938" t="s">
        <v>3644</v>
      </c>
      <c r="Y2938" t="s">
        <v>3645</v>
      </c>
      <c r="Z2938" t="s">
        <v>3646</v>
      </c>
      <c r="AA2938" t="s">
        <v>3647</v>
      </c>
      <c r="AB2938" t="s">
        <v>3648</v>
      </c>
      <c r="AC2938" t="s">
        <v>3649</v>
      </c>
      <c r="AD2938" t="s">
        <v>3650</v>
      </c>
      <c r="AE2938" t="s">
        <v>3651</v>
      </c>
      <c r="AF2938" t="s">
        <v>3652</v>
      </c>
      <c r="AG2938" t="s">
        <v>3653</v>
      </c>
      <c r="AH2938" t="s">
        <v>3654</v>
      </c>
      <c r="AI2938" t="s">
        <v>3655</v>
      </c>
      <c r="AJ2938" t="s">
        <v>3656</v>
      </c>
      <c r="AK2938" t="s">
        <v>3657</v>
      </c>
      <c r="AL2938" t="s">
        <v>3658</v>
      </c>
      <c r="AM2938" t="s">
        <v>3659</v>
      </c>
      <c r="AN2938" t="s">
        <v>3660</v>
      </c>
      <c r="AO2938" t="s">
        <v>3661</v>
      </c>
      <c r="AP2938" t="s">
        <v>3662</v>
      </c>
      <c r="AQ2938" t="s">
        <v>3663</v>
      </c>
      <c r="AR2938" t="s">
        <v>3664</v>
      </c>
      <c r="AS2938" t="s">
        <v>3665</v>
      </c>
      <c r="AT2938" t="s">
        <v>3666</v>
      </c>
      <c r="AU2938" t="s">
        <v>3667</v>
      </c>
      <c r="AV2938" t="s">
        <v>3668</v>
      </c>
      <c r="AW2938" t="s">
        <v>3669</v>
      </c>
      <c r="AX2938" t="s">
        <v>3670</v>
      </c>
      <c r="AY2938" t="s">
        <v>3671</v>
      </c>
      <c r="AZ2938" t="s">
        <v>3672</v>
      </c>
      <c r="BA2938" t="s">
        <v>3673</v>
      </c>
      <c r="BB2938" t="s">
        <v>3674</v>
      </c>
      <c r="BC2938" t="s">
        <v>3675</v>
      </c>
      <c r="BD2938" t="s">
        <v>3676</v>
      </c>
      <c r="BE2938" t="s">
        <v>3677</v>
      </c>
      <c r="BF2938" t="s">
        <v>3678</v>
      </c>
      <c r="BG2938" t="s">
        <v>3679</v>
      </c>
      <c r="BH2938" t="s">
        <v>3680</v>
      </c>
      <c r="BI2938" t="s">
        <v>3681</v>
      </c>
      <c r="BJ2938" t="s">
        <v>3682</v>
      </c>
      <c r="BK2938" t="s">
        <v>3683</v>
      </c>
      <c r="BL2938" t="s">
        <v>3684</v>
      </c>
      <c r="BM2938" t="s">
        <v>3685</v>
      </c>
      <c r="BN2938" t="s">
        <v>3686</v>
      </c>
      <c r="BO2938" t="s">
        <v>3687</v>
      </c>
      <c r="BP2938" t="s">
        <v>3688</v>
      </c>
      <c r="BQ2938" t="s">
        <v>3689</v>
      </c>
      <c r="BR2938" t="s">
        <v>3690</v>
      </c>
      <c r="BS2938" t="s">
        <v>3691</v>
      </c>
      <c r="BT2938" t="s">
        <v>3692</v>
      </c>
      <c r="BU2938" t="s">
        <v>3693</v>
      </c>
      <c r="BV2938" t="s">
        <v>3694</v>
      </c>
      <c r="BW2938" t="s">
        <v>3695</v>
      </c>
      <c r="BX2938" t="s">
        <v>3696</v>
      </c>
      <c r="BY2938" t="s">
        <v>3697</v>
      </c>
      <c r="BZ2938" t="s">
        <v>3698</v>
      </c>
      <c r="CA2938" t="s">
        <v>3699</v>
      </c>
      <c r="CB2938" t="s">
        <v>3700</v>
      </c>
      <c r="CC2938" t="s">
        <v>3701</v>
      </c>
      <c r="CD2938" t="s">
        <v>3702</v>
      </c>
      <c r="CE2938" t="s">
        <v>3703</v>
      </c>
      <c r="CF2938" t="s">
        <v>3704</v>
      </c>
      <c r="CG2938" t="s">
        <v>3705</v>
      </c>
      <c r="CH2938" t="s">
        <v>3706</v>
      </c>
      <c r="CI2938" t="s">
        <v>3707</v>
      </c>
      <c r="CJ2938" t="s">
        <v>3708</v>
      </c>
      <c r="CK2938" t="s">
        <v>3709</v>
      </c>
      <c r="CL2938" t="s">
        <v>3710</v>
      </c>
      <c r="CM2938" t="s">
        <v>3711</v>
      </c>
      <c r="CN2938" t="s">
        <v>3712</v>
      </c>
      <c r="CO2938" t="s">
        <v>3713</v>
      </c>
      <c r="CP2938" t="s">
        <v>3714</v>
      </c>
      <c r="CQ2938" t="s">
        <v>3715</v>
      </c>
      <c r="CR2938" t="s">
        <v>3716</v>
      </c>
      <c r="CS2938" t="s">
        <v>3717</v>
      </c>
      <c r="CT2938" t="s">
        <v>3718</v>
      </c>
      <c r="CU2938" t="s">
        <v>3719</v>
      </c>
      <c r="CV2938" t="s">
        <v>3720</v>
      </c>
      <c r="CW2938" t="s">
        <v>3721</v>
      </c>
      <c r="CX2938" t="s">
        <v>3722</v>
      </c>
      <c r="CY2938" t="s">
        <v>3723</v>
      </c>
      <c r="CZ2938" t="s">
        <v>3724</v>
      </c>
      <c r="DA2938" t="s">
        <v>3725</v>
      </c>
      <c r="DB2938" t="s">
        <v>3726</v>
      </c>
      <c r="DC2938" t="s">
        <v>3727</v>
      </c>
      <c r="DD2938" t="s">
        <v>3728</v>
      </c>
      <c r="DE2938" t="s">
        <v>3729</v>
      </c>
      <c r="DF2938" t="s">
        <v>3730</v>
      </c>
      <c r="DG2938" t="s">
        <v>3731</v>
      </c>
      <c r="DH2938" t="s">
        <v>3732</v>
      </c>
      <c r="DI2938" t="s">
        <v>3733</v>
      </c>
      <c r="DJ2938" t="s">
        <v>3734</v>
      </c>
      <c r="DK2938" t="s">
        <v>3735</v>
      </c>
      <c r="DL2938" t="s">
        <v>3736</v>
      </c>
      <c r="DM2938" t="s">
        <v>3737</v>
      </c>
      <c r="DN2938" t="s">
        <v>3738</v>
      </c>
      <c r="DO2938" t="s">
        <v>3739</v>
      </c>
      <c r="DP2938" t="s">
        <v>3740</v>
      </c>
      <c r="DQ2938" t="s">
        <v>3741</v>
      </c>
      <c r="DR2938" t="s">
        <v>3742</v>
      </c>
      <c r="DS2938" t="s">
        <v>3743</v>
      </c>
      <c r="DT2938" t="s">
        <v>3744</v>
      </c>
      <c r="DU2938" t="s">
        <v>3745</v>
      </c>
      <c r="DV2938" t="s">
        <v>3746</v>
      </c>
      <c r="DW2938" t="s">
        <v>3747</v>
      </c>
      <c r="DX2938" t="s">
        <v>3748</v>
      </c>
      <c r="DY2938" t="s">
        <v>3749</v>
      </c>
    </row>
    <row r="2939" spans="1:129">
      <c r="A2939" t="s">
        <v>3612</v>
      </c>
      <c r="B2939">
        <v>0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v>0</v>
      </c>
      <c r="BH2939">
        <v>0</v>
      </c>
      <c r="BI2939">
        <v>0</v>
      </c>
      <c r="BJ2939">
        <v>0</v>
      </c>
      <c r="BK2939">
        <v>0</v>
      </c>
      <c r="BL2939">
        <v>0</v>
      </c>
      <c r="BM2939">
        <v>0</v>
      </c>
      <c r="BN2939">
        <v>0</v>
      </c>
      <c r="BO2939">
        <v>0</v>
      </c>
      <c r="BP2939">
        <v>0</v>
      </c>
      <c r="BQ2939">
        <v>0</v>
      </c>
      <c r="BR2939">
        <v>0</v>
      </c>
      <c r="BS2939">
        <v>0</v>
      </c>
      <c r="BT2939">
        <v>0</v>
      </c>
      <c r="BU2939">
        <v>0</v>
      </c>
      <c r="BV2939">
        <v>0</v>
      </c>
      <c r="BW2939">
        <v>0</v>
      </c>
      <c r="BX2939">
        <v>0</v>
      </c>
      <c r="BY2939">
        <v>0</v>
      </c>
      <c r="BZ2939">
        <v>0</v>
      </c>
      <c r="CA2939">
        <v>0</v>
      </c>
      <c r="CB2939">
        <v>0</v>
      </c>
      <c r="CC2939">
        <v>0</v>
      </c>
      <c r="CD2939">
        <v>0</v>
      </c>
      <c r="CE2939">
        <v>0</v>
      </c>
      <c r="CF2939">
        <v>0</v>
      </c>
      <c r="CG2939">
        <v>0</v>
      </c>
      <c r="CH2939">
        <v>0</v>
      </c>
      <c r="CI2939">
        <v>0</v>
      </c>
      <c r="CJ2939">
        <v>0</v>
      </c>
      <c r="CK2939">
        <v>0</v>
      </c>
      <c r="CL2939">
        <v>0</v>
      </c>
      <c r="CM2939">
        <v>0</v>
      </c>
      <c r="CN2939">
        <v>0</v>
      </c>
      <c r="CO2939">
        <v>0</v>
      </c>
      <c r="CP2939">
        <v>0</v>
      </c>
      <c r="CQ2939">
        <v>0</v>
      </c>
      <c r="CR2939">
        <v>0</v>
      </c>
      <c r="CS2939">
        <v>0</v>
      </c>
      <c r="CT2939">
        <v>0</v>
      </c>
      <c r="CU2939">
        <v>0</v>
      </c>
      <c r="CV2939">
        <v>0</v>
      </c>
      <c r="CW2939">
        <v>0</v>
      </c>
      <c r="CX2939">
        <v>0</v>
      </c>
      <c r="CY2939">
        <v>0</v>
      </c>
      <c r="CZ2939">
        <v>0</v>
      </c>
      <c r="DA2939">
        <v>0</v>
      </c>
      <c r="DB2939">
        <v>0</v>
      </c>
      <c r="DC2939">
        <v>0</v>
      </c>
      <c r="DD2939">
        <v>0</v>
      </c>
      <c r="DE2939">
        <v>0</v>
      </c>
      <c r="DF2939">
        <v>0</v>
      </c>
      <c r="DG2939">
        <v>0</v>
      </c>
      <c r="DH2939">
        <v>0</v>
      </c>
      <c r="DI2939">
        <v>0</v>
      </c>
      <c r="DJ2939">
        <v>0</v>
      </c>
      <c r="DK2939">
        <v>0</v>
      </c>
      <c r="DL2939">
        <v>0</v>
      </c>
      <c r="DM2939">
        <v>0</v>
      </c>
      <c r="DN2939">
        <v>0</v>
      </c>
      <c r="DO2939">
        <v>0</v>
      </c>
      <c r="DP2939">
        <v>0</v>
      </c>
      <c r="DQ2939">
        <v>0</v>
      </c>
      <c r="DR2939">
        <v>0</v>
      </c>
      <c r="DS2939">
        <v>0</v>
      </c>
      <c r="DT2939">
        <v>0</v>
      </c>
      <c r="DU2939">
        <v>0</v>
      </c>
      <c r="DV2939">
        <v>0</v>
      </c>
      <c r="DW2939">
        <v>0</v>
      </c>
      <c r="DX2939">
        <v>0</v>
      </c>
      <c r="DY2939">
        <v>0</v>
      </c>
    </row>
    <row r="2940" spans="1:129">
      <c r="A2940" t="s">
        <v>3613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>
        <v>0</v>
      </c>
      <c r="BH2940">
        <v>0</v>
      </c>
      <c r="BI2940">
        <v>0</v>
      </c>
      <c r="BJ2940">
        <v>0</v>
      </c>
      <c r="BK2940">
        <v>0</v>
      </c>
      <c r="BL2940">
        <v>0</v>
      </c>
      <c r="BM2940">
        <v>0</v>
      </c>
      <c r="BN2940">
        <v>0</v>
      </c>
      <c r="BO2940">
        <v>0</v>
      </c>
      <c r="BP2940">
        <v>0</v>
      </c>
      <c r="BQ2940">
        <v>0</v>
      </c>
      <c r="BR2940">
        <v>0</v>
      </c>
      <c r="BS2940">
        <v>0</v>
      </c>
      <c r="BT2940">
        <v>0</v>
      </c>
      <c r="BU2940">
        <v>0</v>
      </c>
      <c r="BV2940">
        <v>0</v>
      </c>
      <c r="BW2940">
        <v>0</v>
      </c>
      <c r="BX2940">
        <v>0</v>
      </c>
      <c r="BY2940">
        <v>0</v>
      </c>
      <c r="BZ2940">
        <v>0</v>
      </c>
      <c r="CA2940">
        <v>0</v>
      </c>
      <c r="CB2940">
        <v>0</v>
      </c>
      <c r="CC2940">
        <v>0</v>
      </c>
      <c r="CD2940">
        <v>0</v>
      </c>
      <c r="CE2940">
        <v>0</v>
      </c>
      <c r="CF2940">
        <v>0</v>
      </c>
      <c r="CG2940">
        <v>0</v>
      </c>
      <c r="CH2940">
        <v>0</v>
      </c>
      <c r="CI2940">
        <v>0</v>
      </c>
      <c r="CJ2940">
        <v>0</v>
      </c>
      <c r="CK2940">
        <v>0</v>
      </c>
      <c r="CL2940">
        <v>0</v>
      </c>
      <c r="CM2940">
        <v>0</v>
      </c>
      <c r="CN2940">
        <v>0</v>
      </c>
      <c r="CO2940">
        <v>0</v>
      </c>
      <c r="CP2940">
        <v>0</v>
      </c>
      <c r="CQ2940">
        <v>0</v>
      </c>
      <c r="CR2940">
        <v>0</v>
      </c>
      <c r="CS2940">
        <v>0</v>
      </c>
      <c r="CT2940">
        <v>0</v>
      </c>
      <c r="CU2940">
        <v>0</v>
      </c>
      <c r="CV2940">
        <v>0</v>
      </c>
      <c r="CW2940">
        <v>0</v>
      </c>
      <c r="CX2940">
        <v>0</v>
      </c>
      <c r="CY2940">
        <v>0</v>
      </c>
      <c r="CZ2940">
        <v>0</v>
      </c>
      <c r="DA2940">
        <v>0</v>
      </c>
      <c r="DB2940">
        <v>0</v>
      </c>
      <c r="DC2940">
        <v>0</v>
      </c>
      <c r="DD2940">
        <v>0</v>
      </c>
      <c r="DE2940">
        <v>0</v>
      </c>
      <c r="DF2940">
        <v>0</v>
      </c>
      <c r="DG2940">
        <v>0</v>
      </c>
      <c r="DH2940">
        <v>0</v>
      </c>
      <c r="DI2940">
        <v>0</v>
      </c>
      <c r="DJ2940">
        <v>0</v>
      </c>
      <c r="DK2940">
        <v>0</v>
      </c>
      <c r="DL2940">
        <v>0</v>
      </c>
      <c r="DM2940">
        <v>0</v>
      </c>
      <c r="DN2940">
        <v>0</v>
      </c>
      <c r="DO2940">
        <v>0</v>
      </c>
      <c r="DP2940">
        <v>0</v>
      </c>
      <c r="DQ2940">
        <v>0</v>
      </c>
      <c r="DR2940">
        <v>0</v>
      </c>
      <c r="DS2940">
        <v>0</v>
      </c>
      <c r="DT2940">
        <v>0</v>
      </c>
      <c r="DU2940">
        <v>0</v>
      </c>
      <c r="DV2940">
        <v>0</v>
      </c>
      <c r="DW2940">
        <v>0</v>
      </c>
      <c r="DX2940">
        <v>0</v>
      </c>
      <c r="DY2940">
        <v>0</v>
      </c>
    </row>
    <row r="2941" spans="1:129">
      <c r="A2941" t="s">
        <v>3750</v>
      </c>
      <c r="B2941" t="str">
        <f>"NORM"</f>
        <v>NORM</v>
      </c>
      <c r="C2941" t="str">
        <f>"NORM"</f>
        <v>NORM</v>
      </c>
      <c r="D2941" t="str">
        <f>"STOPB"</f>
        <v>STOPB</v>
      </c>
      <c r="E2941" t="str">
        <f>"STOPB"</f>
        <v>STOPB</v>
      </c>
      <c r="F2941" t="str">
        <f>"STOPB"</f>
        <v>STOPB</v>
      </c>
      <c r="G2941" t="str">
        <f>"STOPB"</f>
        <v>STOPB</v>
      </c>
      <c r="H2941" t="str">
        <f>"NORM"</f>
        <v>NORM</v>
      </c>
      <c r="I2941" t="str">
        <f>"NORM"</f>
        <v>NORM</v>
      </c>
      <c r="J2941" t="str">
        <f>"STOPB"</f>
        <v>STOPB</v>
      </c>
      <c r="K2941" t="str">
        <f>"STOPB"</f>
        <v>STOPB</v>
      </c>
      <c r="L2941" t="str">
        <f>"STOPB"</f>
        <v>STOPB</v>
      </c>
      <c r="M2941" t="str">
        <f>"STOPB"</f>
        <v>STOPB</v>
      </c>
      <c r="N2941" t="str">
        <f>"NORM"</f>
        <v>NORM</v>
      </c>
      <c r="O2941" t="str">
        <f>"NORM"</f>
        <v>NORM</v>
      </c>
      <c r="P2941" t="str">
        <f>"NORM"</f>
        <v>NORM</v>
      </c>
      <c r="Q2941" t="str">
        <f>"NORM"</f>
        <v>NORM</v>
      </c>
      <c r="R2941" t="str">
        <f>"STOPB"</f>
        <v>STOPB</v>
      </c>
      <c r="S2941" t="str">
        <f>"STOPB"</f>
        <v>STOPB</v>
      </c>
      <c r="T2941" t="str">
        <f>"STOPB"</f>
        <v>STOPB</v>
      </c>
      <c r="U2941" t="str">
        <f>"STOPB"</f>
        <v>STOPB</v>
      </c>
      <c r="V2941" t="str">
        <f>"NORM"</f>
        <v>NORM</v>
      </c>
      <c r="W2941" t="str">
        <f>"NORM"</f>
        <v>NORM</v>
      </c>
      <c r="X2941" t="str">
        <f>"STOPB"</f>
        <v>STOPB</v>
      </c>
      <c r="Y2941" t="str">
        <f>"STOPB"</f>
        <v>STOPB</v>
      </c>
      <c r="Z2941" t="str">
        <f>"STOPB"</f>
        <v>STOPB</v>
      </c>
      <c r="AA2941" t="str">
        <f>"STOPB"</f>
        <v>STOPB</v>
      </c>
      <c r="AB2941" t="str">
        <f>"NORM"</f>
        <v>NORM</v>
      </c>
      <c r="AC2941" t="str">
        <f>"NORM"</f>
        <v>NORM</v>
      </c>
      <c r="AD2941" t="str">
        <f>"STOPB"</f>
        <v>STOPB</v>
      </c>
      <c r="AE2941" t="str">
        <f>"STOPB"</f>
        <v>STOPB</v>
      </c>
      <c r="AF2941" t="str">
        <f>"STOPB"</f>
        <v>STOPB</v>
      </c>
      <c r="AG2941" t="str">
        <f>"STOPB"</f>
        <v>STOPB</v>
      </c>
      <c r="AH2941" t="str">
        <f>"NORM"</f>
        <v>NORM</v>
      </c>
      <c r="AI2941" t="str">
        <f>"STOPB"</f>
        <v>STOPB</v>
      </c>
      <c r="AJ2941" t="str">
        <f>"NORM"</f>
        <v>NORM</v>
      </c>
      <c r="AK2941" t="str">
        <f>"STOPB"</f>
        <v>STOPB</v>
      </c>
      <c r="AL2941" t="str">
        <f>"NORM"</f>
        <v>NORM</v>
      </c>
      <c r="AM2941" t="str">
        <f>"STOPB"</f>
        <v>STOPB</v>
      </c>
      <c r="AN2941" t="str">
        <f>"NORM"</f>
        <v>NORM</v>
      </c>
      <c r="AO2941" t="str">
        <f>"STOPB"</f>
        <v>STOPB</v>
      </c>
      <c r="AP2941" t="str">
        <f t="shared" ref="AP2941:BU2941" si="481">"NORM"</f>
        <v>NORM</v>
      </c>
      <c r="AQ2941" t="str">
        <f t="shared" si="481"/>
        <v>NORM</v>
      </c>
      <c r="AR2941" t="str">
        <f t="shared" si="481"/>
        <v>NORM</v>
      </c>
      <c r="AS2941" t="str">
        <f t="shared" si="481"/>
        <v>NORM</v>
      </c>
      <c r="AT2941" t="str">
        <f t="shared" si="481"/>
        <v>NORM</v>
      </c>
      <c r="AU2941" t="str">
        <f t="shared" si="481"/>
        <v>NORM</v>
      </c>
      <c r="AV2941" t="str">
        <f t="shared" si="481"/>
        <v>NORM</v>
      </c>
      <c r="AW2941" t="str">
        <f t="shared" si="481"/>
        <v>NORM</v>
      </c>
      <c r="AX2941" t="str">
        <f t="shared" si="481"/>
        <v>NORM</v>
      </c>
      <c r="AY2941" t="str">
        <f t="shared" si="481"/>
        <v>NORM</v>
      </c>
      <c r="AZ2941" t="str">
        <f t="shared" si="481"/>
        <v>NORM</v>
      </c>
      <c r="BA2941" t="str">
        <f t="shared" si="481"/>
        <v>NORM</v>
      </c>
      <c r="BB2941" t="str">
        <f t="shared" si="481"/>
        <v>NORM</v>
      </c>
      <c r="BC2941" t="str">
        <f t="shared" si="481"/>
        <v>NORM</v>
      </c>
      <c r="BD2941" t="str">
        <f t="shared" si="481"/>
        <v>NORM</v>
      </c>
      <c r="BE2941" t="str">
        <f t="shared" si="481"/>
        <v>NORM</v>
      </c>
      <c r="BF2941" t="str">
        <f t="shared" si="481"/>
        <v>NORM</v>
      </c>
      <c r="BG2941" t="str">
        <f t="shared" si="481"/>
        <v>NORM</v>
      </c>
      <c r="BH2941" t="str">
        <f t="shared" si="481"/>
        <v>NORM</v>
      </c>
      <c r="BI2941" t="str">
        <f t="shared" si="481"/>
        <v>NORM</v>
      </c>
      <c r="BJ2941" t="str">
        <f t="shared" si="481"/>
        <v>NORM</v>
      </c>
      <c r="BK2941" t="str">
        <f t="shared" si="481"/>
        <v>NORM</v>
      </c>
      <c r="BL2941" t="str">
        <f t="shared" si="481"/>
        <v>NORM</v>
      </c>
      <c r="BM2941" t="str">
        <f t="shared" si="481"/>
        <v>NORM</v>
      </c>
      <c r="BN2941" t="str">
        <f t="shared" si="481"/>
        <v>NORM</v>
      </c>
      <c r="BO2941" t="str">
        <f t="shared" si="481"/>
        <v>NORM</v>
      </c>
      <c r="BP2941" t="str">
        <f t="shared" si="481"/>
        <v>NORM</v>
      </c>
      <c r="BQ2941" t="str">
        <f t="shared" si="481"/>
        <v>NORM</v>
      </c>
      <c r="BR2941" t="str">
        <f t="shared" si="481"/>
        <v>NORM</v>
      </c>
      <c r="BS2941" t="str">
        <f t="shared" si="481"/>
        <v>NORM</v>
      </c>
      <c r="BT2941" t="str">
        <f t="shared" si="481"/>
        <v>NORM</v>
      </c>
      <c r="BU2941" t="str">
        <f t="shared" si="481"/>
        <v>NORM</v>
      </c>
      <c r="BV2941" t="str">
        <f t="shared" ref="BV2941:DA2941" si="482">"NORM"</f>
        <v>NORM</v>
      </c>
      <c r="BW2941" t="str">
        <f t="shared" si="482"/>
        <v>NORM</v>
      </c>
      <c r="BX2941" t="str">
        <f t="shared" si="482"/>
        <v>NORM</v>
      </c>
      <c r="BY2941" t="str">
        <f t="shared" si="482"/>
        <v>NORM</v>
      </c>
      <c r="BZ2941" t="str">
        <f t="shared" si="482"/>
        <v>NORM</v>
      </c>
      <c r="CA2941" t="str">
        <f t="shared" si="482"/>
        <v>NORM</v>
      </c>
      <c r="CB2941" t="str">
        <f t="shared" si="482"/>
        <v>NORM</v>
      </c>
      <c r="CC2941" t="str">
        <f t="shared" si="482"/>
        <v>NORM</v>
      </c>
      <c r="CD2941" t="str">
        <f t="shared" si="482"/>
        <v>NORM</v>
      </c>
      <c r="CE2941" t="str">
        <f t="shared" si="482"/>
        <v>NORM</v>
      </c>
      <c r="CF2941" t="str">
        <f t="shared" si="482"/>
        <v>NORM</v>
      </c>
      <c r="CG2941" t="str">
        <f t="shared" si="482"/>
        <v>NORM</v>
      </c>
      <c r="CH2941" t="str">
        <f t="shared" si="482"/>
        <v>NORM</v>
      </c>
      <c r="CI2941" t="str">
        <f t="shared" si="482"/>
        <v>NORM</v>
      </c>
      <c r="CJ2941" t="str">
        <f t="shared" si="482"/>
        <v>NORM</v>
      </c>
      <c r="CK2941" t="str">
        <f t="shared" si="482"/>
        <v>NORM</v>
      </c>
      <c r="CL2941" t="str">
        <f t="shared" si="482"/>
        <v>NORM</v>
      </c>
      <c r="CM2941" t="str">
        <f t="shared" si="482"/>
        <v>NORM</v>
      </c>
      <c r="CN2941" t="str">
        <f t="shared" si="482"/>
        <v>NORM</v>
      </c>
      <c r="CO2941" t="str">
        <f t="shared" si="482"/>
        <v>NORM</v>
      </c>
      <c r="CP2941" t="str">
        <f t="shared" si="482"/>
        <v>NORM</v>
      </c>
      <c r="CQ2941" t="str">
        <f t="shared" si="482"/>
        <v>NORM</v>
      </c>
      <c r="CR2941" t="str">
        <f t="shared" si="482"/>
        <v>NORM</v>
      </c>
      <c r="CS2941" t="str">
        <f t="shared" si="482"/>
        <v>NORM</v>
      </c>
      <c r="CT2941" t="str">
        <f t="shared" si="482"/>
        <v>NORM</v>
      </c>
      <c r="CU2941" t="str">
        <f t="shared" si="482"/>
        <v>NORM</v>
      </c>
      <c r="CV2941" t="str">
        <f t="shared" si="482"/>
        <v>NORM</v>
      </c>
      <c r="CW2941" t="str">
        <f t="shared" si="482"/>
        <v>NORM</v>
      </c>
      <c r="CX2941" t="str">
        <f t="shared" si="482"/>
        <v>NORM</v>
      </c>
      <c r="CY2941" t="str">
        <f t="shared" si="482"/>
        <v>NORM</v>
      </c>
      <c r="CZ2941" t="str">
        <f t="shared" si="482"/>
        <v>NORM</v>
      </c>
      <c r="DA2941" t="str">
        <f t="shared" si="482"/>
        <v>NORM</v>
      </c>
      <c r="DB2941" t="str">
        <f t="shared" ref="DB2941:DY2941" si="483">"NORM"</f>
        <v>NORM</v>
      </c>
      <c r="DC2941" t="str">
        <f t="shared" si="483"/>
        <v>NORM</v>
      </c>
      <c r="DD2941" t="str">
        <f t="shared" si="483"/>
        <v>NORM</v>
      </c>
      <c r="DE2941" t="str">
        <f t="shared" si="483"/>
        <v>NORM</v>
      </c>
      <c r="DF2941" t="str">
        <f t="shared" si="483"/>
        <v>NORM</v>
      </c>
      <c r="DG2941" t="str">
        <f t="shared" si="483"/>
        <v>NORM</v>
      </c>
      <c r="DH2941" t="str">
        <f t="shared" si="483"/>
        <v>NORM</v>
      </c>
      <c r="DI2941" t="str">
        <f t="shared" si="483"/>
        <v>NORM</v>
      </c>
      <c r="DJ2941" t="str">
        <f t="shared" si="483"/>
        <v>NORM</v>
      </c>
      <c r="DK2941" t="str">
        <f t="shared" si="483"/>
        <v>NORM</v>
      </c>
      <c r="DL2941" t="str">
        <f t="shared" si="483"/>
        <v>NORM</v>
      </c>
      <c r="DM2941" t="str">
        <f t="shared" si="483"/>
        <v>NORM</v>
      </c>
      <c r="DN2941" t="str">
        <f t="shared" si="483"/>
        <v>NORM</v>
      </c>
      <c r="DO2941" t="str">
        <f t="shared" si="483"/>
        <v>NORM</v>
      </c>
      <c r="DP2941" t="str">
        <f t="shared" si="483"/>
        <v>NORM</v>
      </c>
      <c r="DQ2941" t="str">
        <f t="shared" si="483"/>
        <v>NORM</v>
      </c>
      <c r="DR2941" t="str">
        <f t="shared" si="483"/>
        <v>NORM</v>
      </c>
      <c r="DS2941" t="str">
        <f t="shared" si="483"/>
        <v>NORM</v>
      </c>
      <c r="DT2941" t="str">
        <f t="shared" si="483"/>
        <v>NORM</v>
      </c>
      <c r="DU2941" t="str">
        <f t="shared" si="483"/>
        <v>NORM</v>
      </c>
      <c r="DV2941" t="str">
        <f t="shared" si="483"/>
        <v>NORM</v>
      </c>
      <c r="DW2941" t="str">
        <f t="shared" si="483"/>
        <v>NORM</v>
      </c>
      <c r="DX2941" t="str">
        <f t="shared" si="483"/>
        <v>NORM</v>
      </c>
      <c r="DY2941" t="str">
        <f t="shared" si="483"/>
        <v>NORM</v>
      </c>
    </row>
    <row r="2942" spans="1:129">
      <c r="A2942" t="s">
        <v>3615</v>
      </c>
      <c r="B2942" t="str">
        <f t="shared" ref="B2942:AS2942" si="484">"On"</f>
        <v>On</v>
      </c>
      <c r="C2942" t="str">
        <f t="shared" si="484"/>
        <v>On</v>
      </c>
      <c r="D2942" t="str">
        <f t="shared" si="484"/>
        <v>On</v>
      </c>
      <c r="E2942" t="str">
        <f t="shared" si="484"/>
        <v>On</v>
      </c>
      <c r="F2942" t="str">
        <f t="shared" si="484"/>
        <v>On</v>
      </c>
      <c r="G2942" t="str">
        <f t="shared" si="484"/>
        <v>On</v>
      </c>
      <c r="H2942" t="str">
        <f t="shared" si="484"/>
        <v>On</v>
      </c>
      <c r="I2942" t="str">
        <f t="shared" si="484"/>
        <v>On</v>
      </c>
      <c r="J2942" t="str">
        <f t="shared" si="484"/>
        <v>On</v>
      </c>
      <c r="K2942" t="str">
        <f t="shared" si="484"/>
        <v>On</v>
      </c>
      <c r="L2942" t="str">
        <f t="shared" si="484"/>
        <v>On</v>
      </c>
      <c r="M2942" t="str">
        <f t="shared" si="484"/>
        <v>On</v>
      </c>
      <c r="N2942" t="str">
        <f t="shared" si="484"/>
        <v>On</v>
      </c>
      <c r="O2942" t="str">
        <f t="shared" si="484"/>
        <v>On</v>
      </c>
      <c r="P2942" t="str">
        <f t="shared" si="484"/>
        <v>On</v>
      </c>
      <c r="Q2942" t="str">
        <f t="shared" si="484"/>
        <v>On</v>
      </c>
      <c r="R2942" t="str">
        <f t="shared" si="484"/>
        <v>On</v>
      </c>
      <c r="S2942" t="str">
        <f t="shared" si="484"/>
        <v>On</v>
      </c>
      <c r="T2942" t="str">
        <f t="shared" si="484"/>
        <v>On</v>
      </c>
      <c r="U2942" t="str">
        <f t="shared" si="484"/>
        <v>On</v>
      </c>
      <c r="V2942" t="str">
        <f t="shared" si="484"/>
        <v>On</v>
      </c>
      <c r="W2942" t="str">
        <f t="shared" si="484"/>
        <v>On</v>
      </c>
      <c r="X2942" t="str">
        <f t="shared" si="484"/>
        <v>On</v>
      </c>
      <c r="Y2942" t="str">
        <f t="shared" si="484"/>
        <v>On</v>
      </c>
      <c r="Z2942" t="str">
        <f t="shared" si="484"/>
        <v>On</v>
      </c>
      <c r="AA2942" t="str">
        <f t="shared" si="484"/>
        <v>On</v>
      </c>
      <c r="AB2942" t="str">
        <f t="shared" si="484"/>
        <v>On</v>
      </c>
      <c r="AC2942" t="str">
        <f t="shared" si="484"/>
        <v>On</v>
      </c>
      <c r="AD2942" t="str">
        <f t="shared" si="484"/>
        <v>On</v>
      </c>
      <c r="AE2942" t="str">
        <f t="shared" si="484"/>
        <v>On</v>
      </c>
      <c r="AF2942" t="str">
        <f t="shared" si="484"/>
        <v>On</v>
      </c>
      <c r="AG2942" t="str">
        <f t="shared" si="484"/>
        <v>On</v>
      </c>
      <c r="AH2942" t="str">
        <f t="shared" si="484"/>
        <v>On</v>
      </c>
      <c r="AI2942" t="str">
        <f t="shared" si="484"/>
        <v>On</v>
      </c>
      <c r="AJ2942" t="str">
        <f t="shared" si="484"/>
        <v>On</v>
      </c>
      <c r="AK2942" t="str">
        <f t="shared" si="484"/>
        <v>On</v>
      </c>
      <c r="AL2942" t="str">
        <f t="shared" si="484"/>
        <v>On</v>
      </c>
      <c r="AM2942" t="str">
        <f t="shared" si="484"/>
        <v>On</v>
      </c>
      <c r="AN2942" t="str">
        <f t="shared" si="484"/>
        <v>On</v>
      </c>
      <c r="AO2942" t="str">
        <f t="shared" si="484"/>
        <v>On</v>
      </c>
      <c r="AP2942" t="str">
        <f t="shared" si="484"/>
        <v>On</v>
      </c>
      <c r="AQ2942" t="str">
        <f t="shared" si="484"/>
        <v>On</v>
      </c>
      <c r="AR2942" t="str">
        <f t="shared" si="484"/>
        <v>On</v>
      </c>
      <c r="AS2942" t="str">
        <f t="shared" si="484"/>
        <v>On</v>
      </c>
      <c r="AT2942" t="str">
        <f t="shared" ref="AT2942:BC2943" si="485">"Off"</f>
        <v>Off</v>
      </c>
      <c r="AU2942" t="str">
        <f t="shared" si="485"/>
        <v>Off</v>
      </c>
      <c r="AV2942" t="str">
        <f t="shared" si="485"/>
        <v>Off</v>
      </c>
      <c r="AW2942" t="str">
        <f t="shared" si="485"/>
        <v>Off</v>
      </c>
      <c r="AX2942" t="str">
        <f t="shared" si="485"/>
        <v>Off</v>
      </c>
      <c r="AY2942" t="str">
        <f t="shared" si="485"/>
        <v>Off</v>
      </c>
      <c r="AZ2942" t="str">
        <f t="shared" si="485"/>
        <v>Off</v>
      </c>
      <c r="BA2942" t="str">
        <f t="shared" si="485"/>
        <v>Off</v>
      </c>
      <c r="BB2942" t="str">
        <f t="shared" si="485"/>
        <v>Off</v>
      </c>
      <c r="BC2942" t="str">
        <f t="shared" si="485"/>
        <v>Off</v>
      </c>
      <c r="BD2942" t="str">
        <f t="shared" ref="BD2942:BM2943" si="486">"Off"</f>
        <v>Off</v>
      </c>
      <c r="BE2942" t="str">
        <f t="shared" si="486"/>
        <v>Off</v>
      </c>
      <c r="BF2942" t="str">
        <f t="shared" si="486"/>
        <v>Off</v>
      </c>
      <c r="BG2942" t="str">
        <f t="shared" si="486"/>
        <v>Off</v>
      </c>
      <c r="BH2942" t="str">
        <f t="shared" si="486"/>
        <v>Off</v>
      </c>
      <c r="BI2942" t="str">
        <f t="shared" si="486"/>
        <v>Off</v>
      </c>
      <c r="BJ2942" t="str">
        <f t="shared" si="486"/>
        <v>Off</v>
      </c>
      <c r="BK2942" t="str">
        <f t="shared" si="486"/>
        <v>Off</v>
      </c>
      <c r="BL2942" t="str">
        <f t="shared" si="486"/>
        <v>Off</v>
      </c>
      <c r="BM2942" t="str">
        <f t="shared" si="486"/>
        <v>Off</v>
      </c>
      <c r="BN2942" t="str">
        <f t="shared" ref="BN2942:BW2943" si="487">"Off"</f>
        <v>Off</v>
      </c>
      <c r="BO2942" t="str">
        <f t="shared" si="487"/>
        <v>Off</v>
      </c>
      <c r="BP2942" t="str">
        <f t="shared" si="487"/>
        <v>Off</v>
      </c>
      <c r="BQ2942" t="str">
        <f t="shared" si="487"/>
        <v>Off</v>
      </c>
      <c r="BR2942" t="str">
        <f t="shared" si="487"/>
        <v>Off</v>
      </c>
      <c r="BS2942" t="str">
        <f t="shared" si="487"/>
        <v>Off</v>
      </c>
      <c r="BT2942" t="str">
        <f t="shared" si="487"/>
        <v>Off</v>
      </c>
      <c r="BU2942" t="str">
        <f t="shared" si="487"/>
        <v>Off</v>
      </c>
      <c r="BV2942" t="str">
        <f t="shared" si="487"/>
        <v>Off</v>
      </c>
      <c r="BW2942" t="str">
        <f t="shared" si="487"/>
        <v>Off</v>
      </c>
      <c r="BX2942" t="str">
        <f t="shared" ref="BX2942:CG2943" si="488">"Off"</f>
        <v>Off</v>
      </c>
      <c r="BY2942" t="str">
        <f t="shared" si="488"/>
        <v>Off</v>
      </c>
      <c r="BZ2942" t="str">
        <f t="shared" si="488"/>
        <v>Off</v>
      </c>
      <c r="CA2942" t="str">
        <f t="shared" si="488"/>
        <v>Off</v>
      </c>
      <c r="CB2942" t="str">
        <f t="shared" si="488"/>
        <v>Off</v>
      </c>
      <c r="CC2942" t="str">
        <f t="shared" si="488"/>
        <v>Off</v>
      </c>
      <c r="CD2942" t="str">
        <f t="shared" si="488"/>
        <v>Off</v>
      </c>
      <c r="CE2942" t="str">
        <f t="shared" si="488"/>
        <v>Off</v>
      </c>
      <c r="CF2942" t="str">
        <f t="shared" si="488"/>
        <v>Off</v>
      </c>
      <c r="CG2942" t="str">
        <f t="shared" si="488"/>
        <v>Off</v>
      </c>
      <c r="CH2942" t="str">
        <f t="shared" ref="CH2942:CQ2943" si="489">"Off"</f>
        <v>Off</v>
      </c>
      <c r="CI2942" t="str">
        <f t="shared" si="489"/>
        <v>Off</v>
      </c>
      <c r="CJ2942" t="str">
        <f t="shared" si="489"/>
        <v>Off</v>
      </c>
      <c r="CK2942" t="str">
        <f t="shared" si="489"/>
        <v>Off</v>
      </c>
      <c r="CL2942" t="str">
        <f t="shared" si="489"/>
        <v>Off</v>
      </c>
      <c r="CM2942" t="str">
        <f t="shared" si="489"/>
        <v>Off</v>
      </c>
      <c r="CN2942" t="str">
        <f t="shared" si="489"/>
        <v>Off</v>
      </c>
      <c r="CO2942" t="str">
        <f t="shared" si="489"/>
        <v>Off</v>
      </c>
      <c r="CP2942" t="str">
        <f t="shared" si="489"/>
        <v>Off</v>
      </c>
      <c r="CQ2942" t="str">
        <f t="shared" si="489"/>
        <v>Off</v>
      </c>
      <c r="CR2942" t="str">
        <f t="shared" ref="CR2942:DA2943" si="490">"Off"</f>
        <v>Off</v>
      </c>
      <c r="CS2942" t="str">
        <f t="shared" si="490"/>
        <v>Off</v>
      </c>
      <c r="CT2942" t="str">
        <f t="shared" si="490"/>
        <v>Off</v>
      </c>
      <c r="CU2942" t="str">
        <f t="shared" si="490"/>
        <v>Off</v>
      </c>
      <c r="CV2942" t="str">
        <f t="shared" si="490"/>
        <v>Off</v>
      </c>
      <c r="CW2942" t="str">
        <f t="shared" si="490"/>
        <v>Off</v>
      </c>
      <c r="CX2942" t="str">
        <f t="shared" si="490"/>
        <v>Off</v>
      </c>
      <c r="CY2942" t="str">
        <f t="shared" si="490"/>
        <v>Off</v>
      </c>
      <c r="CZ2942" t="str">
        <f t="shared" si="490"/>
        <v>Off</v>
      </c>
      <c r="DA2942" t="str">
        <f t="shared" si="490"/>
        <v>Off</v>
      </c>
      <c r="DB2942" t="str">
        <f t="shared" ref="DB2942:DK2943" si="491">"Off"</f>
        <v>Off</v>
      </c>
      <c r="DC2942" t="str">
        <f t="shared" si="491"/>
        <v>Off</v>
      </c>
      <c r="DD2942" t="str">
        <f t="shared" si="491"/>
        <v>Off</v>
      </c>
      <c r="DE2942" t="str">
        <f t="shared" si="491"/>
        <v>Off</v>
      </c>
      <c r="DF2942" t="str">
        <f t="shared" si="491"/>
        <v>Off</v>
      </c>
      <c r="DG2942" t="str">
        <f t="shared" si="491"/>
        <v>Off</v>
      </c>
      <c r="DH2942" t="str">
        <f t="shared" si="491"/>
        <v>Off</v>
      </c>
      <c r="DI2942" t="str">
        <f t="shared" si="491"/>
        <v>Off</v>
      </c>
      <c r="DJ2942" t="str">
        <f t="shared" si="491"/>
        <v>Off</v>
      </c>
      <c r="DK2942" t="str">
        <f t="shared" si="491"/>
        <v>Off</v>
      </c>
      <c r="DL2942" t="str">
        <f t="shared" ref="DL2942:DY2943" si="492">"Off"</f>
        <v>Off</v>
      </c>
      <c r="DM2942" t="str">
        <f t="shared" si="492"/>
        <v>Off</v>
      </c>
      <c r="DN2942" t="str">
        <f t="shared" si="492"/>
        <v>Off</v>
      </c>
      <c r="DO2942" t="str">
        <f t="shared" si="492"/>
        <v>Off</v>
      </c>
      <c r="DP2942" t="str">
        <f t="shared" si="492"/>
        <v>Off</v>
      </c>
      <c r="DQ2942" t="str">
        <f t="shared" si="492"/>
        <v>Off</v>
      </c>
      <c r="DR2942" t="str">
        <f t="shared" si="492"/>
        <v>Off</v>
      </c>
      <c r="DS2942" t="str">
        <f t="shared" si="492"/>
        <v>Off</v>
      </c>
      <c r="DT2942" t="str">
        <f t="shared" si="492"/>
        <v>Off</v>
      </c>
      <c r="DU2942" t="str">
        <f t="shared" si="492"/>
        <v>Off</v>
      </c>
      <c r="DV2942" t="str">
        <f t="shared" si="492"/>
        <v>Off</v>
      </c>
      <c r="DW2942" t="str">
        <f t="shared" si="492"/>
        <v>Off</v>
      </c>
      <c r="DX2942" t="str">
        <f t="shared" si="492"/>
        <v>Off</v>
      </c>
      <c r="DY2942" t="str">
        <f t="shared" si="492"/>
        <v>Off</v>
      </c>
    </row>
    <row r="2943" spans="1:129">
      <c r="A2943" t="s">
        <v>3616</v>
      </c>
      <c r="B2943" t="str">
        <f t="shared" ref="B2943:AS2943" si="493">"Off"</f>
        <v>Off</v>
      </c>
      <c r="C2943" t="str">
        <f t="shared" si="493"/>
        <v>Off</v>
      </c>
      <c r="D2943" t="str">
        <f t="shared" si="493"/>
        <v>Off</v>
      </c>
      <c r="E2943" t="str">
        <f t="shared" si="493"/>
        <v>Off</v>
      </c>
      <c r="F2943" t="str">
        <f t="shared" si="493"/>
        <v>Off</v>
      </c>
      <c r="G2943" t="str">
        <f t="shared" si="493"/>
        <v>Off</v>
      </c>
      <c r="H2943" t="str">
        <f t="shared" si="493"/>
        <v>Off</v>
      </c>
      <c r="I2943" t="str">
        <f t="shared" si="493"/>
        <v>Off</v>
      </c>
      <c r="J2943" t="str">
        <f t="shared" si="493"/>
        <v>Off</v>
      </c>
      <c r="K2943" t="str">
        <f t="shared" si="493"/>
        <v>Off</v>
      </c>
      <c r="L2943" t="str">
        <f t="shared" si="493"/>
        <v>Off</v>
      </c>
      <c r="M2943" t="str">
        <f t="shared" si="493"/>
        <v>Off</v>
      </c>
      <c r="N2943" t="str">
        <f t="shared" si="493"/>
        <v>Off</v>
      </c>
      <c r="O2943" t="str">
        <f t="shared" si="493"/>
        <v>Off</v>
      </c>
      <c r="P2943" t="str">
        <f t="shared" si="493"/>
        <v>Off</v>
      </c>
      <c r="Q2943" t="str">
        <f t="shared" si="493"/>
        <v>Off</v>
      </c>
      <c r="R2943" t="str">
        <f t="shared" si="493"/>
        <v>Off</v>
      </c>
      <c r="S2943" t="str">
        <f t="shared" si="493"/>
        <v>Off</v>
      </c>
      <c r="T2943" t="str">
        <f t="shared" si="493"/>
        <v>Off</v>
      </c>
      <c r="U2943" t="str">
        <f t="shared" si="493"/>
        <v>Off</v>
      </c>
      <c r="V2943" t="str">
        <f t="shared" si="493"/>
        <v>Off</v>
      </c>
      <c r="W2943" t="str">
        <f t="shared" si="493"/>
        <v>Off</v>
      </c>
      <c r="X2943" t="str">
        <f t="shared" si="493"/>
        <v>Off</v>
      </c>
      <c r="Y2943" t="str">
        <f t="shared" si="493"/>
        <v>Off</v>
      </c>
      <c r="Z2943" t="str">
        <f t="shared" si="493"/>
        <v>Off</v>
      </c>
      <c r="AA2943" t="str">
        <f t="shared" si="493"/>
        <v>Off</v>
      </c>
      <c r="AB2943" t="str">
        <f t="shared" si="493"/>
        <v>Off</v>
      </c>
      <c r="AC2943" t="str">
        <f t="shared" si="493"/>
        <v>Off</v>
      </c>
      <c r="AD2943" t="str">
        <f t="shared" si="493"/>
        <v>Off</v>
      </c>
      <c r="AE2943" t="str">
        <f t="shared" si="493"/>
        <v>Off</v>
      </c>
      <c r="AF2943" t="str">
        <f t="shared" si="493"/>
        <v>Off</v>
      </c>
      <c r="AG2943" t="str">
        <f t="shared" si="493"/>
        <v>Off</v>
      </c>
      <c r="AH2943" t="str">
        <f t="shared" si="493"/>
        <v>Off</v>
      </c>
      <c r="AI2943" t="str">
        <f t="shared" si="493"/>
        <v>Off</v>
      </c>
      <c r="AJ2943" t="str">
        <f t="shared" si="493"/>
        <v>Off</v>
      </c>
      <c r="AK2943" t="str">
        <f t="shared" si="493"/>
        <v>Off</v>
      </c>
      <c r="AL2943" t="str">
        <f t="shared" si="493"/>
        <v>Off</v>
      </c>
      <c r="AM2943" t="str">
        <f t="shared" si="493"/>
        <v>Off</v>
      </c>
      <c r="AN2943" t="str">
        <f t="shared" si="493"/>
        <v>Off</v>
      </c>
      <c r="AO2943" t="str">
        <f t="shared" si="493"/>
        <v>Off</v>
      </c>
      <c r="AP2943" t="str">
        <f t="shared" si="493"/>
        <v>Off</v>
      </c>
      <c r="AQ2943" t="str">
        <f t="shared" si="493"/>
        <v>Off</v>
      </c>
      <c r="AR2943" t="str">
        <f t="shared" si="493"/>
        <v>Off</v>
      </c>
      <c r="AS2943" t="str">
        <f t="shared" si="493"/>
        <v>Off</v>
      </c>
      <c r="AT2943" t="str">
        <f t="shared" si="485"/>
        <v>Off</v>
      </c>
      <c r="AU2943" t="str">
        <f t="shared" si="485"/>
        <v>Off</v>
      </c>
      <c r="AV2943" t="str">
        <f t="shared" si="485"/>
        <v>Off</v>
      </c>
      <c r="AW2943" t="str">
        <f t="shared" si="485"/>
        <v>Off</v>
      </c>
      <c r="AX2943" t="str">
        <f t="shared" si="485"/>
        <v>Off</v>
      </c>
      <c r="AY2943" t="str">
        <f t="shared" si="485"/>
        <v>Off</v>
      </c>
      <c r="AZ2943" t="str">
        <f t="shared" si="485"/>
        <v>Off</v>
      </c>
      <c r="BA2943" t="str">
        <f t="shared" si="485"/>
        <v>Off</v>
      </c>
      <c r="BB2943" t="str">
        <f t="shared" si="485"/>
        <v>Off</v>
      </c>
      <c r="BC2943" t="str">
        <f t="shared" si="485"/>
        <v>Off</v>
      </c>
      <c r="BD2943" t="str">
        <f t="shared" si="486"/>
        <v>Off</v>
      </c>
      <c r="BE2943" t="str">
        <f t="shared" si="486"/>
        <v>Off</v>
      </c>
      <c r="BF2943" t="str">
        <f t="shared" si="486"/>
        <v>Off</v>
      </c>
      <c r="BG2943" t="str">
        <f t="shared" si="486"/>
        <v>Off</v>
      </c>
      <c r="BH2943" t="str">
        <f t="shared" si="486"/>
        <v>Off</v>
      </c>
      <c r="BI2943" t="str">
        <f t="shared" si="486"/>
        <v>Off</v>
      </c>
      <c r="BJ2943" t="str">
        <f t="shared" si="486"/>
        <v>Off</v>
      </c>
      <c r="BK2943" t="str">
        <f t="shared" si="486"/>
        <v>Off</v>
      </c>
      <c r="BL2943" t="str">
        <f t="shared" si="486"/>
        <v>Off</v>
      </c>
      <c r="BM2943" t="str">
        <f t="shared" si="486"/>
        <v>Off</v>
      </c>
      <c r="BN2943" t="str">
        <f t="shared" si="487"/>
        <v>Off</v>
      </c>
      <c r="BO2943" t="str">
        <f t="shared" si="487"/>
        <v>Off</v>
      </c>
      <c r="BP2943" t="str">
        <f t="shared" si="487"/>
        <v>Off</v>
      </c>
      <c r="BQ2943" t="str">
        <f t="shared" si="487"/>
        <v>Off</v>
      </c>
      <c r="BR2943" t="str">
        <f t="shared" si="487"/>
        <v>Off</v>
      </c>
      <c r="BS2943" t="str">
        <f t="shared" si="487"/>
        <v>Off</v>
      </c>
      <c r="BT2943" t="str">
        <f t="shared" si="487"/>
        <v>Off</v>
      </c>
      <c r="BU2943" t="str">
        <f t="shared" si="487"/>
        <v>Off</v>
      </c>
      <c r="BV2943" t="str">
        <f t="shared" si="487"/>
        <v>Off</v>
      </c>
      <c r="BW2943" t="str">
        <f t="shared" si="487"/>
        <v>Off</v>
      </c>
      <c r="BX2943" t="str">
        <f t="shared" si="488"/>
        <v>Off</v>
      </c>
      <c r="BY2943" t="str">
        <f t="shared" si="488"/>
        <v>Off</v>
      </c>
      <c r="BZ2943" t="str">
        <f t="shared" si="488"/>
        <v>Off</v>
      </c>
      <c r="CA2943" t="str">
        <f t="shared" si="488"/>
        <v>Off</v>
      </c>
      <c r="CB2943" t="str">
        <f t="shared" si="488"/>
        <v>Off</v>
      </c>
      <c r="CC2943" t="str">
        <f t="shared" si="488"/>
        <v>Off</v>
      </c>
      <c r="CD2943" t="str">
        <f t="shared" si="488"/>
        <v>Off</v>
      </c>
      <c r="CE2943" t="str">
        <f t="shared" si="488"/>
        <v>Off</v>
      </c>
      <c r="CF2943" t="str">
        <f t="shared" si="488"/>
        <v>Off</v>
      </c>
      <c r="CG2943" t="str">
        <f t="shared" si="488"/>
        <v>Off</v>
      </c>
      <c r="CH2943" t="str">
        <f t="shared" si="489"/>
        <v>Off</v>
      </c>
      <c r="CI2943" t="str">
        <f t="shared" si="489"/>
        <v>Off</v>
      </c>
      <c r="CJ2943" t="str">
        <f t="shared" si="489"/>
        <v>Off</v>
      </c>
      <c r="CK2943" t="str">
        <f t="shared" si="489"/>
        <v>Off</v>
      </c>
      <c r="CL2943" t="str">
        <f t="shared" si="489"/>
        <v>Off</v>
      </c>
      <c r="CM2943" t="str">
        <f t="shared" si="489"/>
        <v>Off</v>
      </c>
      <c r="CN2943" t="str">
        <f t="shared" si="489"/>
        <v>Off</v>
      </c>
      <c r="CO2943" t="str">
        <f t="shared" si="489"/>
        <v>Off</v>
      </c>
      <c r="CP2943" t="str">
        <f t="shared" si="489"/>
        <v>Off</v>
      </c>
      <c r="CQ2943" t="str">
        <f t="shared" si="489"/>
        <v>Off</v>
      </c>
      <c r="CR2943" t="str">
        <f t="shared" si="490"/>
        <v>Off</v>
      </c>
      <c r="CS2943" t="str">
        <f t="shared" si="490"/>
        <v>Off</v>
      </c>
      <c r="CT2943" t="str">
        <f t="shared" si="490"/>
        <v>Off</v>
      </c>
      <c r="CU2943" t="str">
        <f t="shared" si="490"/>
        <v>Off</v>
      </c>
      <c r="CV2943" t="str">
        <f t="shared" si="490"/>
        <v>Off</v>
      </c>
      <c r="CW2943" t="str">
        <f t="shared" si="490"/>
        <v>Off</v>
      </c>
      <c r="CX2943" t="str">
        <f t="shared" si="490"/>
        <v>Off</v>
      </c>
      <c r="CY2943" t="str">
        <f t="shared" si="490"/>
        <v>Off</v>
      </c>
      <c r="CZ2943" t="str">
        <f t="shared" si="490"/>
        <v>Off</v>
      </c>
      <c r="DA2943" t="str">
        <f t="shared" si="490"/>
        <v>Off</v>
      </c>
      <c r="DB2943" t="str">
        <f t="shared" si="491"/>
        <v>Off</v>
      </c>
      <c r="DC2943" t="str">
        <f t="shared" si="491"/>
        <v>Off</v>
      </c>
      <c r="DD2943" t="str">
        <f t="shared" si="491"/>
        <v>Off</v>
      </c>
      <c r="DE2943" t="str">
        <f t="shared" si="491"/>
        <v>Off</v>
      </c>
      <c r="DF2943" t="str">
        <f t="shared" si="491"/>
        <v>Off</v>
      </c>
      <c r="DG2943" t="str">
        <f t="shared" si="491"/>
        <v>Off</v>
      </c>
      <c r="DH2943" t="str">
        <f t="shared" si="491"/>
        <v>Off</v>
      </c>
      <c r="DI2943" t="str">
        <f t="shared" si="491"/>
        <v>Off</v>
      </c>
      <c r="DJ2943" t="str">
        <f t="shared" si="491"/>
        <v>Off</v>
      </c>
      <c r="DK2943" t="str">
        <f t="shared" si="491"/>
        <v>Off</v>
      </c>
      <c r="DL2943" t="str">
        <f t="shared" si="492"/>
        <v>Off</v>
      </c>
      <c r="DM2943" t="str">
        <f t="shared" si="492"/>
        <v>Off</v>
      </c>
      <c r="DN2943" t="str">
        <f t="shared" si="492"/>
        <v>Off</v>
      </c>
      <c r="DO2943" t="str">
        <f t="shared" si="492"/>
        <v>Off</v>
      </c>
      <c r="DP2943" t="str">
        <f t="shared" si="492"/>
        <v>Off</v>
      </c>
      <c r="DQ2943" t="str">
        <f t="shared" si="492"/>
        <v>Off</v>
      </c>
      <c r="DR2943" t="str">
        <f t="shared" si="492"/>
        <v>Off</v>
      </c>
      <c r="DS2943" t="str">
        <f t="shared" si="492"/>
        <v>Off</v>
      </c>
      <c r="DT2943" t="str">
        <f t="shared" si="492"/>
        <v>Off</v>
      </c>
      <c r="DU2943" t="str">
        <f t="shared" si="492"/>
        <v>Off</v>
      </c>
      <c r="DV2943" t="str">
        <f t="shared" si="492"/>
        <v>Off</v>
      </c>
      <c r="DW2943" t="str">
        <f t="shared" si="492"/>
        <v>Off</v>
      </c>
      <c r="DX2943" t="str">
        <f t="shared" si="492"/>
        <v>Off</v>
      </c>
      <c r="DY2943" t="str">
        <f t="shared" si="492"/>
        <v>Off</v>
      </c>
    </row>
    <row r="2944" spans="1:129">
      <c r="A2944" t="s">
        <v>3617</v>
      </c>
      <c r="B2944">
        <v>0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v>0</v>
      </c>
      <c r="BH2944">
        <v>0</v>
      </c>
      <c r="BI2944">
        <v>0</v>
      </c>
      <c r="BJ2944">
        <v>0</v>
      </c>
      <c r="BK2944">
        <v>0</v>
      </c>
      <c r="BL2944">
        <v>0</v>
      </c>
      <c r="BM2944">
        <v>0</v>
      </c>
      <c r="BN2944">
        <v>0</v>
      </c>
      <c r="BO2944">
        <v>0</v>
      </c>
      <c r="BP2944">
        <v>0</v>
      </c>
      <c r="BQ2944">
        <v>0</v>
      </c>
      <c r="BR2944">
        <v>0</v>
      </c>
      <c r="BS2944">
        <v>0</v>
      </c>
      <c r="BT2944">
        <v>0</v>
      </c>
      <c r="BU2944">
        <v>0</v>
      </c>
      <c r="BV2944">
        <v>0</v>
      </c>
      <c r="BW2944">
        <v>0</v>
      </c>
      <c r="BX2944">
        <v>0</v>
      </c>
      <c r="BY2944">
        <v>0</v>
      </c>
      <c r="BZ2944">
        <v>0</v>
      </c>
      <c r="CA2944">
        <v>0</v>
      </c>
      <c r="CB2944">
        <v>0</v>
      </c>
      <c r="CC2944">
        <v>0</v>
      </c>
      <c r="CD2944">
        <v>0</v>
      </c>
      <c r="CE2944">
        <v>0</v>
      </c>
      <c r="CF2944">
        <v>0</v>
      </c>
      <c r="CG2944">
        <v>0</v>
      </c>
      <c r="CH2944">
        <v>0</v>
      </c>
      <c r="CI2944">
        <v>0</v>
      </c>
      <c r="CJ2944">
        <v>0</v>
      </c>
      <c r="CK2944">
        <v>0</v>
      </c>
      <c r="CL2944">
        <v>0</v>
      </c>
      <c r="CM2944">
        <v>0</v>
      </c>
      <c r="CN2944">
        <v>0</v>
      </c>
      <c r="CO2944">
        <v>0</v>
      </c>
      <c r="CP2944">
        <v>0</v>
      </c>
      <c r="CQ2944">
        <v>0</v>
      </c>
      <c r="CR2944">
        <v>0</v>
      </c>
      <c r="CS2944">
        <v>0</v>
      </c>
      <c r="CT2944">
        <v>0</v>
      </c>
      <c r="CU2944">
        <v>0</v>
      </c>
      <c r="CV2944">
        <v>0</v>
      </c>
      <c r="CW2944">
        <v>0</v>
      </c>
      <c r="CX2944">
        <v>0</v>
      </c>
      <c r="CY2944">
        <v>0</v>
      </c>
      <c r="CZ2944">
        <v>0</v>
      </c>
      <c r="DA2944">
        <v>0</v>
      </c>
      <c r="DB2944">
        <v>0</v>
      </c>
      <c r="DC2944">
        <v>0</v>
      </c>
      <c r="DD2944">
        <v>0</v>
      </c>
      <c r="DE2944">
        <v>0</v>
      </c>
      <c r="DF2944">
        <v>0</v>
      </c>
      <c r="DG2944">
        <v>0</v>
      </c>
      <c r="DH2944">
        <v>0</v>
      </c>
      <c r="DI2944">
        <v>0</v>
      </c>
      <c r="DJ2944">
        <v>0</v>
      </c>
      <c r="DK2944">
        <v>0</v>
      </c>
      <c r="DL2944">
        <v>0</v>
      </c>
      <c r="DM2944">
        <v>0</v>
      </c>
      <c r="DN2944">
        <v>0</v>
      </c>
      <c r="DO2944">
        <v>0</v>
      </c>
      <c r="DP2944">
        <v>0</v>
      </c>
      <c r="DQ2944">
        <v>0</v>
      </c>
      <c r="DR2944">
        <v>0</v>
      </c>
      <c r="DS2944">
        <v>0</v>
      </c>
      <c r="DT2944">
        <v>0</v>
      </c>
      <c r="DU2944">
        <v>0</v>
      </c>
      <c r="DV2944">
        <v>0</v>
      </c>
      <c r="DW2944">
        <v>0</v>
      </c>
      <c r="DX2944">
        <v>0</v>
      </c>
      <c r="DY2944">
        <v>0</v>
      </c>
    </row>
    <row r="2945" spans="1:129">
      <c r="A2945" t="s">
        <v>3618</v>
      </c>
      <c r="B2945" t="str">
        <f t="shared" ref="B2945:AS2945" si="494">"On"</f>
        <v>On</v>
      </c>
      <c r="C2945" t="str">
        <f t="shared" si="494"/>
        <v>On</v>
      </c>
      <c r="D2945" t="str">
        <f t="shared" si="494"/>
        <v>On</v>
      </c>
      <c r="E2945" t="str">
        <f t="shared" si="494"/>
        <v>On</v>
      </c>
      <c r="F2945" t="str">
        <f t="shared" si="494"/>
        <v>On</v>
      </c>
      <c r="G2945" t="str">
        <f t="shared" si="494"/>
        <v>On</v>
      </c>
      <c r="H2945" t="str">
        <f t="shared" si="494"/>
        <v>On</v>
      </c>
      <c r="I2945" t="str">
        <f t="shared" si="494"/>
        <v>On</v>
      </c>
      <c r="J2945" t="str">
        <f t="shared" si="494"/>
        <v>On</v>
      </c>
      <c r="K2945" t="str">
        <f t="shared" si="494"/>
        <v>On</v>
      </c>
      <c r="L2945" t="str">
        <f t="shared" si="494"/>
        <v>On</v>
      </c>
      <c r="M2945" t="str">
        <f t="shared" si="494"/>
        <v>On</v>
      </c>
      <c r="N2945" t="str">
        <f t="shared" si="494"/>
        <v>On</v>
      </c>
      <c r="O2945" t="str">
        <f t="shared" si="494"/>
        <v>On</v>
      </c>
      <c r="P2945" t="str">
        <f t="shared" si="494"/>
        <v>On</v>
      </c>
      <c r="Q2945" t="str">
        <f t="shared" si="494"/>
        <v>On</v>
      </c>
      <c r="R2945" t="str">
        <f t="shared" si="494"/>
        <v>On</v>
      </c>
      <c r="S2945" t="str">
        <f t="shared" si="494"/>
        <v>On</v>
      </c>
      <c r="T2945" t="str">
        <f t="shared" si="494"/>
        <v>On</v>
      </c>
      <c r="U2945" t="str">
        <f t="shared" si="494"/>
        <v>On</v>
      </c>
      <c r="V2945" t="str">
        <f t="shared" si="494"/>
        <v>On</v>
      </c>
      <c r="W2945" t="str">
        <f t="shared" si="494"/>
        <v>On</v>
      </c>
      <c r="X2945" t="str">
        <f t="shared" si="494"/>
        <v>On</v>
      </c>
      <c r="Y2945" t="str">
        <f t="shared" si="494"/>
        <v>On</v>
      </c>
      <c r="Z2945" t="str">
        <f t="shared" si="494"/>
        <v>On</v>
      </c>
      <c r="AA2945" t="str">
        <f t="shared" si="494"/>
        <v>On</v>
      </c>
      <c r="AB2945" t="str">
        <f t="shared" si="494"/>
        <v>On</v>
      </c>
      <c r="AC2945" t="str">
        <f t="shared" si="494"/>
        <v>On</v>
      </c>
      <c r="AD2945" t="str">
        <f t="shared" si="494"/>
        <v>On</v>
      </c>
      <c r="AE2945" t="str">
        <f t="shared" si="494"/>
        <v>On</v>
      </c>
      <c r="AF2945" t="str">
        <f t="shared" si="494"/>
        <v>On</v>
      </c>
      <c r="AG2945" t="str">
        <f t="shared" si="494"/>
        <v>On</v>
      </c>
      <c r="AH2945" t="str">
        <f t="shared" si="494"/>
        <v>On</v>
      </c>
      <c r="AI2945" t="str">
        <f t="shared" si="494"/>
        <v>On</v>
      </c>
      <c r="AJ2945" t="str">
        <f t="shared" si="494"/>
        <v>On</v>
      </c>
      <c r="AK2945" t="str">
        <f t="shared" si="494"/>
        <v>On</v>
      </c>
      <c r="AL2945" t="str">
        <f t="shared" si="494"/>
        <v>On</v>
      </c>
      <c r="AM2945" t="str">
        <f t="shared" si="494"/>
        <v>On</v>
      </c>
      <c r="AN2945" t="str">
        <f t="shared" si="494"/>
        <v>On</v>
      </c>
      <c r="AO2945" t="str">
        <f t="shared" si="494"/>
        <v>On</v>
      </c>
      <c r="AP2945" t="str">
        <f t="shared" si="494"/>
        <v>On</v>
      </c>
      <c r="AQ2945" t="str">
        <f t="shared" si="494"/>
        <v>On</v>
      </c>
      <c r="AR2945" t="str">
        <f t="shared" si="494"/>
        <v>On</v>
      </c>
      <c r="AS2945" t="str">
        <f t="shared" si="494"/>
        <v>On</v>
      </c>
      <c r="AT2945" t="str">
        <f t="shared" ref="AT2945:BY2945" si="495">"Off"</f>
        <v>Off</v>
      </c>
      <c r="AU2945" t="str">
        <f t="shared" si="495"/>
        <v>Off</v>
      </c>
      <c r="AV2945" t="str">
        <f t="shared" si="495"/>
        <v>Off</v>
      </c>
      <c r="AW2945" t="str">
        <f t="shared" si="495"/>
        <v>Off</v>
      </c>
      <c r="AX2945" t="str">
        <f t="shared" si="495"/>
        <v>Off</v>
      </c>
      <c r="AY2945" t="str">
        <f t="shared" si="495"/>
        <v>Off</v>
      </c>
      <c r="AZ2945" t="str">
        <f t="shared" si="495"/>
        <v>Off</v>
      </c>
      <c r="BA2945" t="str">
        <f t="shared" si="495"/>
        <v>Off</v>
      </c>
      <c r="BB2945" t="str">
        <f t="shared" si="495"/>
        <v>Off</v>
      </c>
      <c r="BC2945" t="str">
        <f t="shared" si="495"/>
        <v>Off</v>
      </c>
      <c r="BD2945" t="str">
        <f t="shared" si="495"/>
        <v>Off</v>
      </c>
      <c r="BE2945" t="str">
        <f t="shared" si="495"/>
        <v>Off</v>
      </c>
      <c r="BF2945" t="str">
        <f t="shared" si="495"/>
        <v>Off</v>
      </c>
      <c r="BG2945" t="str">
        <f t="shared" si="495"/>
        <v>Off</v>
      </c>
      <c r="BH2945" t="str">
        <f t="shared" si="495"/>
        <v>Off</v>
      </c>
      <c r="BI2945" t="str">
        <f t="shared" si="495"/>
        <v>Off</v>
      </c>
      <c r="BJ2945" t="str">
        <f t="shared" si="495"/>
        <v>Off</v>
      </c>
      <c r="BK2945" t="str">
        <f t="shared" si="495"/>
        <v>Off</v>
      </c>
      <c r="BL2945" t="str">
        <f t="shared" si="495"/>
        <v>Off</v>
      </c>
      <c r="BM2945" t="str">
        <f t="shared" si="495"/>
        <v>Off</v>
      </c>
      <c r="BN2945" t="str">
        <f t="shared" si="495"/>
        <v>Off</v>
      </c>
      <c r="BO2945" t="str">
        <f t="shared" si="495"/>
        <v>Off</v>
      </c>
      <c r="BP2945" t="str">
        <f t="shared" si="495"/>
        <v>Off</v>
      </c>
      <c r="BQ2945" t="str">
        <f t="shared" si="495"/>
        <v>Off</v>
      </c>
      <c r="BR2945" t="str">
        <f t="shared" si="495"/>
        <v>Off</v>
      </c>
      <c r="BS2945" t="str">
        <f t="shared" si="495"/>
        <v>Off</v>
      </c>
      <c r="BT2945" t="str">
        <f t="shared" si="495"/>
        <v>Off</v>
      </c>
      <c r="BU2945" t="str">
        <f t="shared" si="495"/>
        <v>Off</v>
      </c>
      <c r="BV2945" t="str">
        <f t="shared" si="495"/>
        <v>Off</v>
      </c>
      <c r="BW2945" t="str">
        <f t="shared" si="495"/>
        <v>Off</v>
      </c>
      <c r="BX2945" t="str">
        <f t="shared" si="495"/>
        <v>Off</v>
      </c>
      <c r="BY2945" t="str">
        <f t="shared" si="495"/>
        <v>Off</v>
      </c>
      <c r="BZ2945" t="str">
        <f t="shared" ref="BZ2945:DE2945" si="496">"Off"</f>
        <v>Off</v>
      </c>
      <c r="CA2945" t="str">
        <f t="shared" si="496"/>
        <v>Off</v>
      </c>
      <c r="CB2945" t="str">
        <f t="shared" si="496"/>
        <v>Off</v>
      </c>
      <c r="CC2945" t="str">
        <f t="shared" si="496"/>
        <v>Off</v>
      </c>
      <c r="CD2945" t="str">
        <f t="shared" si="496"/>
        <v>Off</v>
      </c>
      <c r="CE2945" t="str">
        <f t="shared" si="496"/>
        <v>Off</v>
      </c>
      <c r="CF2945" t="str">
        <f t="shared" si="496"/>
        <v>Off</v>
      </c>
      <c r="CG2945" t="str">
        <f t="shared" si="496"/>
        <v>Off</v>
      </c>
      <c r="CH2945" t="str">
        <f t="shared" si="496"/>
        <v>Off</v>
      </c>
      <c r="CI2945" t="str">
        <f t="shared" si="496"/>
        <v>Off</v>
      </c>
      <c r="CJ2945" t="str">
        <f t="shared" si="496"/>
        <v>Off</v>
      </c>
      <c r="CK2945" t="str">
        <f t="shared" si="496"/>
        <v>Off</v>
      </c>
      <c r="CL2945" t="str">
        <f t="shared" si="496"/>
        <v>Off</v>
      </c>
      <c r="CM2945" t="str">
        <f t="shared" si="496"/>
        <v>Off</v>
      </c>
      <c r="CN2945" t="str">
        <f t="shared" si="496"/>
        <v>Off</v>
      </c>
      <c r="CO2945" t="str">
        <f t="shared" si="496"/>
        <v>Off</v>
      </c>
      <c r="CP2945" t="str">
        <f t="shared" si="496"/>
        <v>Off</v>
      </c>
      <c r="CQ2945" t="str">
        <f t="shared" si="496"/>
        <v>Off</v>
      </c>
      <c r="CR2945" t="str">
        <f t="shared" si="496"/>
        <v>Off</v>
      </c>
      <c r="CS2945" t="str">
        <f t="shared" si="496"/>
        <v>Off</v>
      </c>
      <c r="CT2945" t="str">
        <f t="shared" si="496"/>
        <v>Off</v>
      </c>
      <c r="CU2945" t="str">
        <f t="shared" si="496"/>
        <v>Off</v>
      </c>
      <c r="CV2945" t="str">
        <f t="shared" si="496"/>
        <v>Off</v>
      </c>
      <c r="CW2945" t="str">
        <f t="shared" si="496"/>
        <v>Off</v>
      </c>
      <c r="CX2945" t="str">
        <f t="shared" si="496"/>
        <v>Off</v>
      </c>
      <c r="CY2945" t="str">
        <f t="shared" si="496"/>
        <v>Off</v>
      </c>
      <c r="CZ2945" t="str">
        <f t="shared" si="496"/>
        <v>Off</v>
      </c>
      <c r="DA2945" t="str">
        <f t="shared" si="496"/>
        <v>Off</v>
      </c>
      <c r="DB2945" t="str">
        <f t="shared" si="496"/>
        <v>Off</v>
      </c>
      <c r="DC2945" t="str">
        <f t="shared" si="496"/>
        <v>Off</v>
      </c>
      <c r="DD2945" t="str">
        <f t="shared" si="496"/>
        <v>Off</v>
      </c>
      <c r="DE2945" t="str">
        <f t="shared" si="496"/>
        <v>Off</v>
      </c>
      <c r="DF2945" t="str">
        <f t="shared" ref="DF2945:DY2945" si="497">"Off"</f>
        <v>Off</v>
      </c>
      <c r="DG2945" t="str">
        <f t="shared" si="497"/>
        <v>Off</v>
      </c>
      <c r="DH2945" t="str">
        <f t="shared" si="497"/>
        <v>Off</v>
      </c>
      <c r="DI2945" t="str">
        <f t="shared" si="497"/>
        <v>Off</v>
      </c>
      <c r="DJ2945" t="str">
        <f t="shared" si="497"/>
        <v>Off</v>
      </c>
      <c r="DK2945" t="str">
        <f t="shared" si="497"/>
        <v>Off</v>
      </c>
      <c r="DL2945" t="str">
        <f t="shared" si="497"/>
        <v>Off</v>
      </c>
      <c r="DM2945" t="str">
        <f t="shared" si="497"/>
        <v>Off</v>
      </c>
      <c r="DN2945" t="str">
        <f t="shared" si="497"/>
        <v>Off</v>
      </c>
      <c r="DO2945" t="str">
        <f t="shared" si="497"/>
        <v>Off</v>
      </c>
      <c r="DP2945" t="str">
        <f t="shared" si="497"/>
        <v>Off</v>
      </c>
      <c r="DQ2945" t="str">
        <f t="shared" si="497"/>
        <v>Off</v>
      </c>
      <c r="DR2945" t="str">
        <f t="shared" si="497"/>
        <v>Off</v>
      </c>
      <c r="DS2945" t="str">
        <f t="shared" si="497"/>
        <v>Off</v>
      </c>
      <c r="DT2945" t="str">
        <f t="shared" si="497"/>
        <v>Off</v>
      </c>
      <c r="DU2945" t="str">
        <f t="shared" si="497"/>
        <v>Off</v>
      </c>
      <c r="DV2945" t="str">
        <f t="shared" si="497"/>
        <v>Off</v>
      </c>
      <c r="DW2945" t="str">
        <f t="shared" si="497"/>
        <v>Off</v>
      </c>
      <c r="DX2945" t="str">
        <f t="shared" si="497"/>
        <v>Off</v>
      </c>
      <c r="DY2945" t="str">
        <f t="shared" si="497"/>
        <v>Off</v>
      </c>
    </row>
    <row r="2947" spans="1:129">
      <c r="A2947" t="s">
        <v>3037</v>
      </c>
      <c r="B2947">
        <v>0</v>
      </c>
      <c r="C2947">
        <v>0</v>
      </c>
      <c r="D2947">
        <v>0</v>
      </c>
      <c r="E2947">
        <v>0</v>
      </c>
    </row>
    <row r="2948" spans="1:129">
      <c r="A2948" t="s">
        <v>3038</v>
      </c>
      <c r="B2948">
        <v>0</v>
      </c>
      <c r="C2948">
        <v>0</v>
      </c>
      <c r="D2948">
        <v>0</v>
      </c>
      <c r="E2948">
        <v>0</v>
      </c>
    </row>
    <row r="2949" spans="1:129">
      <c r="A2949" t="s">
        <v>3039</v>
      </c>
      <c r="B2949">
        <v>0</v>
      </c>
      <c r="C2949">
        <v>0</v>
      </c>
      <c r="D2949">
        <v>0</v>
      </c>
      <c r="E2949">
        <v>0</v>
      </c>
    </row>
    <row r="2951" spans="1:129">
      <c r="B2951" t="s">
        <v>3044</v>
      </c>
      <c r="C2951">
        <v>8</v>
      </c>
      <c r="D2951">
        <v>4</v>
      </c>
      <c r="E2951">
        <v>1</v>
      </c>
    </row>
    <row r="2952" spans="1:129">
      <c r="B2952" t="s">
        <v>3026</v>
      </c>
      <c r="C2952" t="s">
        <v>3027</v>
      </c>
      <c r="D2952" t="s">
        <v>3028</v>
      </c>
      <c r="E2952" t="s">
        <v>3029</v>
      </c>
    </row>
    <row r="2953" spans="1:129">
      <c r="A2953" t="s">
        <v>3032</v>
      </c>
      <c r="B2953">
        <v>1</v>
      </c>
      <c r="C2953">
        <v>6</v>
      </c>
      <c r="D2953">
        <v>0</v>
      </c>
      <c r="E2953">
        <v>0</v>
      </c>
    </row>
    <row r="2954" spans="1:129">
      <c r="A2954" t="s">
        <v>3033</v>
      </c>
      <c r="B2954">
        <v>2</v>
      </c>
      <c r="C2954">
        <v>5</v>
      </c>
      <c r="D2954">
        <v>0</v>
      </c>
      <c r="E2954">
        <v>0</v>
      </c>
    </row>
    <row r="2955" spans="1:129">
      <c r="A2955" t="s">
        <v>3034</v>
      </c>
      <c r="B2955">
        <v>3</v>
      </c>
      <c r="C2955">
        <v>8</v>
      </c>
      <c r="D2955">
        <v>0</v>
      </c>
      <c r="E2955">
        <v>0</v>
      </c>
    </row>
    <row r="2956" spans="1:129">
      <c r="A2956" t="s">
        <v>3035</v>
      </c>
      <c r="B2956">
        <v>4</v>
      </c>
      <c r="C2956">
        <v>7</v>
      </c>
      <c r="D2956">
        <v>0</v>
      </c>
      <c r="E2956">
        <v>0</v>
      </c>
    </row>
    <row r="2957" spans="1:129">
      <c r="A2957" t="s">
        <v>3036</v>
      </c>
      <c r="B2957">
        <v>0</v>
      </c>
      <c r="C2957">
        <v>0</v>
      </c>
      <c r="D2957">
        <v>0</v>
      </c>
      <c r="E2957">
        <v>0</v>
      </c>
    </row>
    <row r="2958" spans="1:129">
      <c r="A2958" t="s">
        <v>3037</v>
      </c>
      <c r="B2958">
        <v>0</v>
      </c>
      <c r="C2958">
        <v>0</v>
      </c>
      <c r="D2958">
        <v>0</v>
      </c>
      <c r="E2958">
        <v>0</v>
      </c>
    </row>
    <row r="2959" spans="1:129">
      <c r="A2959" t="s">
        <v>3038</v>
      </c>
      <c r="B2959">
        <v>0</v>
      </c>
      <c r="C2959">
        <v>0</v>
      </c>
      <c r="D2959">
        <v>0</v>
      </c>
      <c r="E2959">
        <v>0</v>
      </c>
    </row>
    <row r="2960" spans="1:129">
      <c r="A2960" t="s">
        <v>3039</v>
      </c>
      <c r="B2960">
        <v>0</v>
      </c>
      <c r="C2960">
        <v>0</v>
      </c>
      <c r="D2960">
        <v>0</v>
      </c>
      <c r="E2960">
        <v>0</v>
      </c>
    </row>
    <row r="2962" spans="1:5">
      <c r="B2962" t="s">
        <v>3045</v>
      </c>
      <c r="C2962">
        <v>8</v>
      </c>
      <c r="D2962">
        <v>4</v>
      </c>
      <c r="E2962">
        <v>1</v>
      </c>
    </row>
    <row r="2963" spans="1:5">
      <c r="B2963" t="s">
        <v>3026</v>
      </c>
      <c r="C2963" t="s">
        <v>3027</v>
      </c>
      <c r="D2963" t="s">
        <v>3028</v>
      </c>
      <c r="E2963" t="s">
        <v>3029</v>
      </c>
    </row>
    <row r="2964" spans="1:5">
      <c r="A2964" t="s">
        <v>3032</v>
      </c>
      <c r="B2964">
        <v>2</v>
      </c>
      <c r="C2964">
        <v>5</v>
      </c>
      <c r="D2964">
        <v>0</v>
      </c>
      <c r="E2964">
        <v>0</v>
      </c>
    </row>
    <row r="2965" spans="1:5">
      <c r="A2965" t="s">
        <v>3033</v>
      </c>
      <c r="B2965">
        <v>1</v>
      </c>
      <c r="C2965">
        <v>6</v>
      </c>
      <c r="D2965">
        <v>0</v>
      </c>
      <c r="E2965">
        <v>0</v>
      </c>
    </row>
    <row r="2966" spans="1:5">
      <c r="A2966" t="s">
        <v>3034</v>
      </c>
      <c r="B2966">
        <v>3</v>
      </c>
      <c r="C2966">
        <v>8</v>
      </c>
      <c r="D2966">
        <v>0</v>
      </c>
      <c r="E2966">
        <v>0</v>
      </c>
    </row>
    <row r="2967" spans="1:5">
      <c r="A2967" t="s">
        <v>3035</v>
      </c>
      <c r="B2967">
        <v>4</v>
      </c>
      <c r="C2967">
        <v>7</v>
      </c>
      <c r="D2967">
        <v>0</v>
      </c>
      <c r="E2967">
        <v>0</v>
      </c>
    </row>
    <row r="2968" spans="1:5">
      <c r="A2968" t="s">
        <v>3036</v>
      </c>
      <c r="B2968">
        <v>0</v>
      </c>
      <c r="C2968">
        <v>0</v>
      </c>
      <c r="D2968">
        <v>0</v>
      </c>
      <c r="E2968">
        <v>0</v>
      </c>
    </row>
    <row r="2969" spans="1:5">
      <c r="A2969" t="s">
        <v>3037</v>
      </c>
      <c r="B2969">
        <v>0</v>
      </c>
      <c r="C2969">
        <v>0</v>
      </c>
      <c r="D2969">
        <v>0</v>
      </c>
      <c r="E2969">
        <v>0</v>
      </c>
    </row>
    <row r="2970" spans="1:5">
      <c r="A2970" t="s">
        <v>3038</v>
      </c>
      <c r="B2970">
        <v>0</v>
      </c>
      <c r="C2970">
        <v>0</v>
      </c>
      <c r="D2970">
        <v>0</v>
      </c>
      <c r="E2970">
        <v>0</v>
      </c>
    </row>
    <row r="2971" spans="1:5">
      <c r="A2971" t="s">
        <v>3039</v>
      </c>
      <c r="B2971">
        <v>0</v>
      </c>
      <c r="C2971">
        <v>0</v>
      </c>
      <c r="D2971">
        <v>0</v>
      </c>
      <c r="E2971">
        <v>0</v>
      </c>
    </row>
    <row r="2973" spans="1:5">
      <c r="B2973" t="s">
        <v>3046</v>
      </c>
      <c r="C2973">
        <v>8</v>
      </c>
      <c r="D2973">
        <v>4</v>
      </c>
      <c r="E2973">
        <v>1</v>
      </c>
    </row>
    <row r="2974" spans="1:5">
      <c r="B2974" t="s">
        <v>3026</v>
      </c>
      <c r="C2974" t="s">
        <v>3027</v>
      </c>
      <c r="D2974" t="s">
        <v>3028</v>
      </c>
      <c r="E2974" t="s">
        <v>3029</v>
      </c>
    </row>
    <row r="2975" spans="1:5">
      <c r="A2975" t="s">
        <v>3032</v>
      </c>
      <c r="B2975">
        <v>2</v>
      </c>
      <c r="C2975">
        <v>6</v>
      </c>
      <c r="D2975">
        <v>0</v>
      </c>
      <c r="E2975">
        <v>0</v>
      </c>
    </row>
    <row r="2976" spans="1:5">
      <c r="A2976" t="s">
        <v>3033</v>
      </c>
      <c r="B2976">
        <v>1</v>
      </c>
      <c r="C2976">
        <v>5</v>
      </c>
      <c r="D2976">
        <v>0</v>
      </c>
      <c r="E2976">
        <v>0</v>
      </c>
    </row>
    <row r="2977" spans="1:5">
      <c r="A2977" t="s">
        <v>3034</v>
      </c>
      <c r="B2977">
        <v>3</v>
      </c>
      <c r="C2977">
        <v>8</v>
      </c>
      <c r="D2977">
        <v>0</v>
      </c>
      <c r="E2977">
        <v>0</v>
      </c>
    </row>
    <row r="2978" spans="1:5">
      <c r="A2978" t="s">
        <v>3035</v>
      </c>
      <c r="B2978">
        <v>4</v>
      </c>
      <c r="C2978">
        <v>7</v>
      </c>
      <c r="D2978">
        <v>0</v>
      </c>
      <c r="E2978">
        <v>0</v>
      </c>
    </row>
    <row r="2979" spans="1:5">
      <c r="A2979" t="s">
        <v>3036</v>
      </c>
      <c r="B2979">
        <v>0</v>
      </c>
      <c r="C2979">
        <v>0</v>
      </c>
      <c r="D2979">
        <v>0</v>
      </c>
      <c r="E2979">
        <v>0</v>
      </c>
    </row>
    <row r="2980" spans="1:5">
      <c r="A2980" t="s">
        <v>3037</v>
      </c>
      <c r="B2980">
        <v>0</v>
      </c>
      <c r="C2980">
        <v>0</v>
      </c>
      <c r="D2980">
        <v>0</v>
      </c>
      <c r="E2980">
        <v>0</v>
      </c>
    </row>
    <row r="2981" spans="1:5">
      <c r="A2981" t="s">
        <v>3038</v>
      </c>
      <c r="B2981">
        <v>0</v>
      </c>
      <c r="C2981">
        <v>0</v>
      </c>
      <c r="D2981">
        <v>0</v>
      </c>
      <c r="E2981">
        <v>0</v>
      </c>
    </row>
    <row r="2982" spans="1:5">
      <c r="A2982" t="s">
        <v>3039</v>
      </c>
      <c r="B2982">
        <v>0</v>
      </c>
      <c r="C2982">
        <v>0</v>
      </c>
      <c r="D2982">
        <v>0</v>
      </c>
      <c r="E2982">
        <v>0</v>
      </c>
    </row>
    <row r="2984" spans="1:5">
      <c r="B2984" t="s">
        <v>3047</v>
      </c>
      <c r="C2984">
        <v>8</v>
      </c>
      <c r="D2984">
        <v>4</v>
      </c>
      <c r="E2984">
        <v>1</v>
      </c>
    </row>
    <row r="2985" spans="1:5">
      <c r="B2985" t="s">
        <v>3026</v>
      </c>
      <c r="C2985" t="s">
        <v>3027</v>
      </c>
      <c r="D2985" t="s">
        <v>3028</v>
      </c>
      <c r="E2985" t="s">
        <v>3029</v>
      </c>
    </row>
    <row r="2986" spans="1:5">
      <c r="A2986" t="s">
        <v>3032</v>
      </c>
      <c r="B2986">
        <v>1</v>
      </c>
      <c r="C2986">
        <v>5</v>
      </c>
      <c r="D2986">
        <v>0</v>
      </c>
      <c r="E2986">
        <v>0</v>
      </c>
    </row>
    <row r="2987" spans="1:5">
      <c r="A2987" t="s">
        <v>3033</v>
      </c>
      <c r="B2987">
        <v>2</v>
      </c>
      <c r="C2987">
        <v>6</v>
      </c>
      <c r="D2987">
        <v>0</v>
      </c>
      <c r="E2987">
        <v>0</v>
      </c>
    </row>
    <row r="2988" spans="1:5">
      <c r="A2988" t="s">
        <v>3034</v>
      </c>
      <c r="B2988">
        <v>4</v>
      </c>
      <c r="C2988">
        <v>7</v>
      </c>
      <c r="D2988">
        <v>0</v>
      </c>
      <c r="E2988">
        <v>0</v>
      </c>
    </row>
    <row r="2989" spans="1:5">
      <c r="A2989" t="s">
        <v>3035</v>
      </c>
      <c r="B2989">
        <v>3</v>
      </c>
      <c r="C2989">
        <v>8</v>
      </c>
      <c r="D2989">
        <v>0</v>
      </c>
      <c r="E2989">
        <v>0</v>
      </c>
    </row>
    <row r="2990" spans="1:5">
      <c r="A2990" t="s">
        <v>3036</v>
      </c>
      <c r="B2990">
        <v>0</v>
      </c>
      <c r="C2990">
        <v>0</v>
      </c>
      <c r="D2990">
        <v>0</v>
      </c>
      <c r="E2990">
        <v>0</v>
      </c>
    </row>
    <row r="2991" spans="1:5">
      <c r="A2991" t="s">
        <v>3037</v>
      </c>
      <c r="B2991">
        <v>0</v>
      </c>
      <c r="C2991">
        <v>0</v>
      </c>
      <c r="D2991">
        <v>0</v>
      </c>
      <c r="E2991">
        <v>0</v>
      </c>
    </row>
    <row r="2992" spans="1:5">
      <c r="A2992" t="s">
        <v>3038</v>
      </c>
      <c r="B2992">
        <v>0</v>
      </c>
      <c r="C2992">
        <v>0</v>
      </c>
      <c r="D2992">
        <v>0</v>
      </c>
      <c r="E2992">
        <v>0</v>
      </c>
    </row>
    <row r="2993" spans="1:5">
      <c r="A2993" t="s">
        <v>3039</v>
      </c>
      <c r="B2993">
        <v>0</v>
      </c>
      <c r="C2993">
        <v>0</v>
      </c>
      <c r="D2993">
        <v>0</v>
      </c>
      <c r="E2993">
        <v>0</v>
      </c>
    </row>
    <row r="2995" spans="1:5">
      <c r="B2995" t="s">
        <v>3048</v>
      </c>
      <c r="C2995">
        <v>8</v>
      </c>
      <c r="D2995">
        <v>4</v>
      </c>
      <c r="E2995">
        <v>1</v>
      </c>
    </row>
    <row r="2996" spans="1:5">
      <c r="B2996" t="s">
        <v>3026</v>
      </c>
      <c r="C2996" t="s">
        <v>3027</v>
      </c>
      <c r="D2996" t="s">
        <v>3028</v>
      </c>
      <c r="E2996" t="s">
        <v>3029</v>
      </c>
    </row>
    <row r="2997" spans="1:5">
      <c r="A2997" t="s">
        <v>3032</v>
      </c>
      <c r="B2997">
        <v>1</v>
      </c>
      <c r="C2997">
        <v>6</v>
      </c>
      <c r="D2997">
        <v>0</v>
      </c>
      <c r="E2997">
        <v>0</v>
      </c>
    </row>
    <row r="2998" spans="1:5">
      <c r="A2998" t="s">
        <v>3033</v>
      </c>
      <c r="B2998">
        <v>2</v>
      </c>
      <c r="C2998">
        <v>5</v>
      </c>
      <c r="D2998">
        <v>0</v>
      </c>
      <c r="E2998">
        <v>0</v>
      </c>
    </row>
    <row r="2999" spans="1:5">
      <c r="A2999" t="s">
        <v>3034</v>
      </c>
      <c r="B2999">
        <v>4</v>
      </c>
      <c r="C2999">
        <v>7</v>
      </c>
      <c r="D2999">
        <v>0</v>
      </c>
      <c r="E2999">
        <v>0</v>
      </c>
    </row>
    <row r="3000" spans="1:5">
      <c r="A3000" t="s">
        <v>3035</v>
      </c>
      <c r="B3000">
        <v>3</v>
      </c>
      <c r="C3000">
        <v>8</v>
      </c>
      <c r="D3000">
        <v>0</v>
      </c>
      <c r="E3000">
        <v>0</v>
      </c>
    </row>
    <row r="3001" spans="1:5">
      <c r="A3001" t="s">
        <v>3036</v>
      </c>
      <c r="B3001">
        <v>0</v>
      </c>
      <c r="C3001">
        <v>0</v>
      </c>
      <c r="D3001">
        <v>0</v>
      </c>
      <c r="E3001">
        <v>0</v>
      </c>
    </row>
    <row r="3002" spans="1:5">
      <c r="A3002" t="s">
        <v>3037</v>
      </c>
      <c r="B3002">
        <v>0</v>
      </c>
      <c r="C3002">
        <v>0</v>
      </c>
      <c r="D3002">
        <v>0</v>
      </c>
      <c r="E3002">
        <v>0</v>
      </c>
    </row>
    <row r="3003" spans="1:5">
      <c r="A3003" t="s">
        <v>3038</v>
      </c>
      <c r="B3003">
        <v>0</v>
      </c>
      <c r="C3003">
        <v>0</v>
      </c>
      <c r="D3003">
        <v>0</v>
      </c>
      <c r="E3003">
        <v>0</v>
      </c>
    </row>
    <row r="3004" spans="1:5">
      <c r="A3004" t="s">
        <v>3039</v>
      </c>
      <c r="B3004">
        <v>0</v>
      </c>
      <c r="C3004">
        <v>0</v>
      </c>
      <c r="D3004">
        <v>0</v>
      </c>
      <c r="E3004">
        <v>0</v>
      </c>
    </row>
    <row r="3006" spans="1:5">
      <c r="B3006" t="s">
        <v>3049</v>
      </c>
      <c r="C3006">
        <v>8</v>
      </c>
      <c r="D3006">
        <v>4</v>
      </c>
      <c r="E3006">
        <v>1</v>
      </c>
    </row>
    <row r="3007" spans="1:5">
      <c r="B3007" t="s">
        <v>3026</v>
      </c>
      <c r="C3007" t="s">
        <v>3027</v>
      </c>
      <c r="D3007" t="s">
        <v>3028</v>
      </c>
      <c r="E3007" t="s">
        <v>3029</v>
      </c>
    </row>
    <row r="3008" spans="1:5">
      <c r="A3008" t="s">
        <v>3032</v>
      </c>
      <c r="B3008">
        <v>2</v>
      </c>
      <c r="C3008">
        <v>5</v>
      </c>
      <c r="D3008">
        <v>0</v>
      </c>
      <c r="E3008">
        <v>0</v>
      </c>
    </row>
    <row r="3009" spans="1:5">
      <c r="A3009" t="s">
        <v>3033</v>
      </c>
      <c r="B3009">
        <v>1</v>
      </c>
      <c r="C3009">
        <v>6</v>
      </c>
      <c r="D3009">
        <v>0</v>
      </c>
      <c r="E3009">
        <v>0</v>
      </c>
    </row>
    <row r="3010" spans="1:5">
      <c r="A3010" t="s">
        <v>3034</v>
      </c>
      <c r="B3010">
        <v>4</v>
      </c>
      <c r="C3010">
        <v>7</v>
      </c>
      <c r="D3010">
        <v>0</v>
      </c>
      <c r="E3010">
        <v>0</v>
      </c>
    </row>
    <row r="3011" spans="1:5">
      <c r="A3011" t="s">
        <v>3035</v>
      </c>
      <c r="B3011">
        <v>3</v>
      </c>
      <c r="C3011">
        <v>8</v>
      </c>
      <c r="D3011">
        <v>0</v>
      </c>
      <c r="E3011">
        <v>0</v>
      </c>
    </row>
    <row r="3012" spans="1:5">
      <c r="A3012" t="s">
        <v>3036</v>
      </c>
      <c r="B3012">
        <v>0</v>
      </c>
      <c r="C3012">
        <v>0</v>
      </c>
      <c r="D3012">
        <v>0</v>
      </c>
      <c r="E3012">
        <v>0</v>
      </c>
    </row>
    <row r="3013" spans="1:5">
      <c r="A3013" t="s">
        <v>3037</v>
      </c>
      <c r="B3013">
        <v>0</v>
      </c>
      <c r="C3013">
        <v>0</v>
      </c>
      <c r="D3013">
        <v>0</v>
      </c>
      <c r="E3013">
        <v>0</v>
      </c>
    </row>
    <row r="3014" spans="1:5">
      <c r="A3014" t="s">
        <v>3038</v>
      </c>
      <c r="B3014">
        <v>0</v>
      </c>
      <c r="C3014">
        <v>0</v>
      </c>
      <c r="D3014">
        <v>0</v>
      </c>
      <c r="E3014">
        <v>0</v>
      </c>
    </row>
    <row r="3015" spans="1:5">
      <c r="A3015" t="s">
        <v>3039</v>
      </c>
      <c r="B3015">
        <v>0</v>
      </c>
      <c r="C3015">
        <v>0</v>
      </c>
      <c r="D3015">
        <v>0</v>
      </c>
      <c r="E3015">
        <v>0</v>
      </c>
    </row>
    <row r="3017" spans="1:5">
      <c r="B3017" t="s">
        <v>3050</v>
      </c>
      <c r="C3017">
        <v>8</v>
      </c>
      <c r="D3017">
        <v>4</v>
      </c>
      <c r="E3017">
        <v>1</v>
      </c>
    </row>
    <row r="3018" spans="1:5">
      <c r="B3018" t="s">
        <v>3026</v>
      </c>
      <c r="C3018" t="s">
        <v>3027</v>
      </c>
      <c r="D3018" t="s">
        <v>3028</v>
      </c>
      <c r="E3018" t="s">
        <v>3029</v>
      </c>
    </row>
    <row r="3019" spans="1:5">
      <c r="A3019" t="s">
        <v>3032</v>
      </c>
      <c r="B3019">
        <v>2</v>
      </c>
      <c r="C3019">
        <v>6</v>
      </c>
      <c r="D3019">
        <v>0</v>
      </c>
      <c r="E3019">
        <v>0</v>
      </c>
    </row>
    <row r="3020" spans="1:5">
      <c r="A3020" t="s">
        <v>3033</v>
      </c>
      <c r="B3020">
        <v>1</v>
      </c>
      <c r="C3020">
        <v>5</v>
      </c>
      <c r="D3020">
        <v>0</v>
      </c>
      <c r="E3020">
        <v>0</v>
      </c>
    </row>
    <row r="3021" spans="1:5">
      <c r="A3021" t="s">
        <v>3034</v>
      </c>
      <c r="B3021">
        <v>4</v>
      </c>
      <c r="C3021">
        <v>7</v>
      </c>
      <c r="D3021">
        <v>0</v>
      </c>
      <c r="E3021">
        <v>0</v>
      </c>
    </row>
    <row r="3022" spans="1:5">
      <c r="A3022" t="s">
        <v>3035</v>
      </c>
      <c r="B3022">
        <v>3</v>
      </c>
      <c r="C3022">
        <v>8</v>
      </c>
      <c r="D3022">
        <v>0</v>
      </c>
      <c r="E3022">
        <v>0</v>
      </c>
    </row>
    <row r="3023" spans="1:5">
      <c r="A3023" t="s">
        <v>3036</v>
      </c>
      <c r="B3023">
        <v>0</v>
      </c>
      <c r="C3023">
        <v>0</v>
      </c>
      <c r="D3023">
        <v>0</v>
      </c>
      <c r="E3023">
        <v>0</v>
      </c>
    </row>
    <row r="3024" spans="1:5">
      <c r="A3024" t="s">
        <v>3037</v>
      </c>
      <c r="B3024">
        <v>0</v>
      </c>
      <c r="C3024">
        <v>0</v>
      </c>
      <c r="D3024">
        <v>0</v>
      </c>
      <c r="E3024">
        <v>0</v>
      </c>
    </row>
    <row r="3025" spans="1:5">
      <c r="A3025" t="s">
        <v>3038</v>
      </c>
      <c r="B3025">
        <v>0</v>
      </c>
      <c r="C3025">
        <v>0</v>
      </c>
      <c r="D3025">
        <v>0</v>
      </c>
      <c r="E3025">
        <v>0</v>
      </c>
    </row>
    <row r="3026" spans="1:5">
      <c r="A3026" t="s">
        <v>3039</v>
      </c>
      <c r="B3026">
        <v>0</v>
      </c>
      <c r="C3026">
        <v>0</v>
      </c>
      <c r="D3026">
        <v>0</v>
      </c>
      <c r="E3026">
        <v>0</v>
      </c>
    </row>
    <row r="3028" spans="1:5">
      <c r="B3028" t="s">
        <v>3051</v>
      </c>
      <c r="C3028">
        <v>8</v>
      </c>
      <c r="D3028">
        <v>4</v>
      </c>
      <c r="E3028">
        <v>1</v>
      </c>
    </row>
    <row r="3029" spans="1:5">
      <c r="B3029" t="s">
        <v>3026</v>
      </c>
      <c r="C3029" t="s">
        <v>3027</v>
      </c>
      <c r="D3029" t="s">
        <v>3028</v>
      </c>
      <c r="E3029" t="s">
        <v>3029</v>
      </c>
    </row>
    <row r="3030" spans="1:5">
      <c r="A3030" t="s">
        <v>3032</v>
      </c>
      <c r="B3030">
        <v>1</v>
      </c>
      <c r="C3030">
        <v>5</v>
      </c>
      <c r="D3030">
        <v>0</v>
      </c>
      <c r="E3030">
        <v>0</v>
      </c>
    </row>
    <row r="3031" spans="1:5">
      <c r="A3031" t="s">
        <v>3033</v>
      </c>
      <c r="B3031">
        <v>2</v>
      </c>
      <c r="C3031">
        <v>6</v>
      </c>
      <c r="D3031">
        <v>0</v>
      </c>
      <c r="E3031">
        <v>0</v>
      </c>
    </row>
    <row r="3032" spans="1:5">
      <c r="A3032" t="s">
        <v>3034</v>
      </c>
      <c r="B3032">
        <v>4</v>
      </c>
      <c r="C3032">
        <v>8</v>
      </c>
      <c r="D3032">
        <v>0</v>
      </c>
      <c r="E3032">
        <v>0</v>
      </c>
    </row>
    <row r="3033" spans="1:5">
      <c r="A3033" t="s">
        <v>3035</v>
      </c>
      <c r="B3033">
        <v>3</v>
      </c>
      <c r="C3033">
        <v>7</v>
      </c>
      <c r="D3033">
        <v>0</v>
      </c>
      <c r="E3033">
        <v>0</v>
      </c>
    </row>
    <row r="3034" spans="1:5">
      <c r="A3034" t="s">
        <v>3036</v>
      </c>
      <c r="B3034">
        <v>0</v>
      </c>
      <c r="C3034">
        <v>0</v>
      </c>
      <c r="D3034">
        <v>0</v>
      </c>
      <c r="E3034">
        <v>0</v>
      </c>
    </row>
    <row r="3035" spans="1:5">
      <c r="A3035" t="s">
        <v>3037</v>
      </c>
      <c r="B3035">
        <v>0</v>
      </c>
      <c r="C3035">
        <v>0</v>
      </c>
      <c r="D3035">
        <v>0</v>
      </c>
      <c r="E3035">
        <v>0</v>
      </c>
    </row>
    <row r="3036" spans="1:5">
      <c r="A3036" t="s">
        <v>3038</v>
      </c>
      <c r="B3036">
        <v>0</v>
      </c>
      <c r="C3036">
        <v>0</v>
      </c>
      <c r="D3036">
        <v>0</v>
      </c>
      <c r="E3036">
        <v>0</v>
      </c>
    </row>
    <row r="3037" spans="1:5">
      <c r="A3037" t="s">
        <v>3039</v>
      </c>
      <c r="B3037">
        <v>0</v>
      </c>
      <c r="C3037">
        <v>0</v>
      </c>
      <c r="D3037">
        <v>0</v>
      </c>
      <c r="E3037">
        <v>0</v>
      </c>
    </row>
    <row r="3039" spans="1:5">
      <c r="B3039" t="s">
        <v>3052</v>
      </c>
      <c r="C3039">
        <v>8</v>
      </c>
      <c r="D3039">
        <v>4</v>
      </c>
      <c r="E3039">
        <v>1</v>
      </c>
    </row>
    <row r="3040" spans="1:5">
      <c r="B3040" t="s">
        <v>3026</v>
      </c>
      <c r="C3040" t="s">
        <v>3027</v>
      </c>
      <c r="D3040" t="s">
        <v>3028</v>
      </c>
      <c r="E3040" t="s">
        <v>3029</v>
      </c>
    </row>
    <row r="3041" spans="1:5">
      <c r="A3041" t="s">
        <v>3032</v>
      </c>
      <c r="B3041">
        <v>1</v>
      </c>
      <c r="C3041">
        <v>6</v>
      </c>
      <c r="D3041">
        <v>0</v>
      </c>
      <c r="E3041">
        <v>0</v>
      </c>
    </row>
    <row r="3042" spans="1:5">
      <c r="A3042" t="s">
        <v>3033</v>
      </c>
      <c r="B3042">
        <v>2</v>
      </c>
      <c r="C3042">
        <v>5</v>
      </c>
      <c r="D3042">
        <v>0</v>
      </c>
      <c r="E3042">
        <v>0</v>
      </c>
    </row>
    <row r="3043" spans="1:5">
      <c r="A3043" t="s">
        <v>3034</v>
      </c>
      <c r="B3043">
        <v>4</v>
      </c>
      <c r="C3043">
        <v>8</v>
      </c>
      <c r="D3043">
        <v>0</v>
      </c>
      <c r="E3043">
        <v>0</v>
      </c>
    </row>
    <row r="3044" spans="1:5">
      <c r="A3044" t="s">
        <v>3035</v>
      </c>
      <c r="B3044">
        <v>3</v>
      </c>
      <c r="C3044">
        <v>7</v>
      </c>
      <c r="D3044">
        <v>0</v>
      </c>
      <c r="E3044">
        <v>0</v>
      </c>
    </row>
    <row r="3045" spans="1:5">
      <c r="A3045" t="s">
        <v>3036</v>
      </c>
      <c r="B3045">
        <v>0</v>
      </c>
      <c r="C3045">
        <v>0</v>
      </c>
      <c r="D3045">
        <v>0</v>
      </c>
      <c r="E3045">
        <v>0</v>
      </c>
    </row>
    <row r="3046" spans="1:5">
      <c r="A3046" t="s">
        <v>3037</v>
      </c>
      <c r="B3046">
        <v>0</v>
      </c>
      <c r="C3046">
        <v>0</v>
      </c>
      <c r="D3046">
        <v>0</v>
      </c>
      <c r="E3046">
        <v>0</v>
      </c>
    </row>
    <row r="3047" spans="1:5">
      <c r="A3047" t="s">
        <v>3038</v>
      </c>
      <c r="B3047">
        <v>0</v>
      </c>
      <c r="C3047">
        <v>0</v>
      </c>
      <c r="D3047">
        <v>0</v>
      </c>
      <c r="E3047">
        <v>0</v>
      </c>
    </row>
    <row r="3048" spans="1:5">
      <c r="A3048" t="s">
        <v>3039</v>
      </c>
      <c r="B3048">
        <v>0</v>
      </c>
      <c r="C3048">
        <v>0</v>
      </c>
      <c r="D3048">
        <v>0</v>
      </c>
      <c r="E3048">
        <v>0</v>
      </c>
    </row>
    <row r="3050" spans="1:5">
      <c r="B3050" t="s">
        <v>3053</v>
      </c>
      <c r="C3050">
        <v>8</v>
      </c>
      <c r="D3050">
        <v>4</v>
      </c>
      <c r="E3050">
        <v>1</v>
      </c>
    </row>
    <row r="3051" spans="1:5">
      <c r="B3051" t="s">
        <v>3026</v>
      </c>
      <c r="C3051" t="s">
        <v>3027</v>
      </c>
      <c r="D3051" t="s">
        <v>3028</v>
      </c>
      <c r="E3051" t="s">
        <v>3029</v>
      </c>
    </row>
    <row r="3052" spans="1:5">
      <c r="A3052" t="s">
        <v>3032</v>
      </c>
      <c r="B3052">
        <v>2</v>
      </c>
      <c r="C3052">
        <v>5</v>
      </c>
      <c r="D3052">
        <v>0</v>
      </c>
      <c r="E3052">
        <v>0</v>
      </c>
    </row>
    <row r="3053" spans="1:5">
      <c r="A3053" t="s">
        <v>3033</v>
      </c>
      <c r="B3053">
        <v>1</v>
      </c>
      <c r="C3053">
        <v>6</v>
      </c>
      <c r="D3053">
        <v>0</v>
      </c>
      <c r="E3053">
        <v>0</v>
      </c>
    </row>
    <row r="3054" spans="1:5">
      <c r="A3054" t="s">
        <v>3034</v>
      </c>
      <c r="B3054">
        <v>4</v>
      </c>
      <c r="C3054">
        <v>8</v>
      </c>
      <c r="D3054">
        <v>0</v>
      </c>
      <c r="E3054">
        <v>0</v>
      </c>
    </row>
    <row r="3055" spans="1:5">
      <c r="A3055" t="s">
        <v>3035</v>
      </c>
      <c r="B3055">
        <v>3</v>
      </c>
      <c r="C3055">
        <v>7</v>
      </c>
      <c r="D3055">
        <v>0</v>
      </c>
      <c r="E3055">
        <v>0</v>
      </c>
    </row>
    <row r="3056" spans="1:5">
      <c r="A3056" t="s">
        <v>3036</v>
      </c>
      <c r="B3056">
        <v>0</v>
      </c>
      <c r="C3056">
        <v>0</v>
      </c>
      <c r="D3056">
        <v>0</v>
      </c>
      <c r="E3056">
        <v>0</v>
      </c>
    </row>
    <row r="3057" spans="1:5">
      <c r="A3057" t="s">
        <v>3037</v>
      </c>
      <c r="B3057">
        <v>0</v>
      </c>
      <c r="C3057">
        <v>0</v>
      </c>
      <c r="D3057">
        <v>0</v>
      </c>
      <c r="E3057">
        <v>0</v>
      </c>
    </row>
    <row r="3058" spans="1:5">
      <c r="A3058" t="s">
        <v>3038</v>
      </c>
      <c r="B3058">
        <v>0</v>
      </c>
      <c r="C3058">
        <v>0</v>
      </c>
      <c r="D3058">
        <v>0</v>
      </c>
      <c r="E3058">
        <v>0</v>
      </c>
    </row>
    <row r="3059" spans="1:5">
      <c r="A3059" t="s">
        <v>3039</v>
      </c>
      <c r="B3059">
        <v>0</v>
      </c>
      <c r="C3059">
        <v>0</v>
      </c>
      <c r="D3059">
        <v>0</v>
      </c>
      <c r="E3059">
        <v>0</v>
      </c>
    </row>
    <row r="3061" spans="1:5">
      <c r="B3061" t="s">
        <v>3054</v>
      </c>
      <c r="C3061">
        <v>8</v>
      </c>
      <c r="D3061">
        <v>4</v>
      </c>
      <c r="E3061">
        <v>1</v>
      </c>
    </row>
    <row r="3062" spans="1:5">
      <c r="B3062" t="s">
        <v>3026</v>
      </c>
      <c r="C3062" t="s">
        <v>3027</v>
      </c>
      <c r="D3062" t="s">
        <v>3028</v>
      </c>
      <c r="E3062" t="s">
        <v>3029</v>
      </c>
    </row>
    <row r="3063" spans="1:5">
      <c r="A3063" t="s">
        <v>3032</v>
      </c>
      <c r="B3063">
        <v>2</v>
      </c>
      <c r="C3063">
        <v>6</v>
      </c>
      <c r="D3063">
        <v>0</v>
      </c>
      <c r="E3063">
        <v>0</v>
      </c>
    </row>
    <row r="3064" spans="1:5">
      <c r="A3064" t="s">
        <v>3033</v>
      </c>
      <c r="B3064">
        <v>1</v>
      </c>
      <c r="C3064">
        <v>5</v>
      </c>
      <c r="D3064">
        <v>0</v>
      </c>
      <c r="E3064">
        <v>0</v>
      </c>
    </row>
    <row r="3065" spans="1:5">
      <c r="A3065" t="s">
        <v>3034</v>
      </c>
      <c r="B3065">
        <v>4</v>
      </c>
      <c r="C3065">
        <v>8</v>
      </c>
      <c r="D3065">
        <v>0</v>
      </c>
      <c r="E3065">
        <v>0</v>
      </c>
    </row>
    <row r="3066" spans="1:5">
      <c r="A3066" t="s">
        <v>3035</v>
      </c>
      <c r="B3066">
        <v>3</v>
      </c>
      <c r="C3066">
        <v>7</v>
      </c>
      <c r="D3066">
        <v>0</v>
      </c>
      <c r="E3066">
        <v>0</v>
      </c>
    </row>
    <row r="3067" spans="1:5">
      <c r="A3067" t="s">
        <v>3036</v>
      </c>
      <c r="B3067">
        <v>0</v>
      </c>
      <c r="C3067">
        <v>0</v>
      </c>
      <c r="D3067">
        <v>0</v>
      </c>
      <c r="E3067">
        <v>0</v>
      </c>
    </row>
    <row r="3068" spans="1:5">
      <c r="A3068" t="s">
        <v>3037</v>
      </c>
      <c r="B3068">
        <v>0</v>
      </c>
      <c r="C3068">
        <v>0</v>
      </c>
      <c r="D3068">
        <v>0</v>
      </c>
      <c r="E3068">
        <v>0</v>
      </c>
    </row>
    <row r="3069" spans="1:5">
      <c r="A3069" t="s">
        <v>3038</v>
      </c>
      <c r="B3069">
        <v>0</v>
      </c>
      <c r="C3069">
        <v>0</v>
      </c>
      <c r="D3069">
        <v>0</v>
      </c>
      <c r="E3069">
        <v>0</v>
      </c>
    </row>
    <row r="3070" spans="1:5">
      <c r="A3070" t="s">
        <v>3039</v>
      </c>
      <c r="B3070">
        <v>0</v>
      </c>
      <c r="C3070">
        <v>0</v>
      </c>
      <c r="D3070">
        <v>0</v>
      </c>
      <c r="E3070">
        <v>0</v>
      </c>
    </row>
    <row r="3072" spans="1:5">
      <c r="B3072" t="s">
        <v>3055</v>
      </c>
      <c r="C3072">
        <v>2</v>
      </c>
      <c r="D3072">
        <v>18</v>
      </c>
      <c r="E3072">
        <v>1</v>
      </c>
    </row>
    <row r="3073" spans="1:65">
      <c r="B3073" t="s">
        <v>3056</v>
      </c>
      <c r="C3073" t="s">
        <v>3057</v>
      </c>
      <c r="D3073" t="s">
        <v>3058</v>
      </c>
      <c r="E3073" t="s">
        <v>3059</v>
      </c>
      <c r="F3073" t="s">
        <v>3060</v>
      </c>
      <c r="G3073" t="s">
        <v>3061</v>
      </c>
      <c r="H3073" t="s">
        <v>3062</v>
      </c>
      <c r="I3073" t="s">
        <v>3063</v>
      </c>
      <c r="J3073" t="s">
        <v>3064</v>
      </c>
      <c r="K3073" t="s">
        <v>3065</v>
      </c>
      <c r="L3073" t="s">
        <v>3066</v>
      </c>
      <c r="M3073" t="s">
        <v>3067</v>
      </c>
      <c r="N3073" t="s">
        <v>3068</v>
      </c>
      <c r="O3073" t="s">
        <v>3069</v>
      </c>
      <c r="P3073" t="s">
        <v>3070</v>
      </c>
      <c r="Q3073" t="s">
        <v>3071</v>
      </c>
      <c r="R3073" t="s">
        <v>3072</v>
      </c>
      <c r="S3073" t="s">
        <v>3073</v>
      </c>
    </row>
    <row r="3074" spans="1:65">
      <c r="A3074" t="s">
        <v>3074</v>
      </c>
      <c r="B3074" t="str">
        <f t="shared" ref="B3074:K3075" si="498">"OFF"</f>
        <v>OFF</v>
      </c>
      <c r="C3074" t="str">
        <f t="shared" si="498"/>
        <v>OFF</v>
      </c>
      <c r="D3074" t="str">
        <f t="shared" si="498"/>
        <v>OFF</v>
      </c>
      <c r="E3074" t="str">
        <f t="shared" si="498"/>
        <v>OFF</v>
      </c>
      <c r="F3074" t="str">
        <f t="shared" si="498"/>
        <v>OFF</v>
      </c>
      <c r="G3074" t="str">
        <f t="shared" si="498"/>
        <v>OFF</v>
      </c>
      <c r="H3074" t="str">
        <f t="shared" si="498"/>
        <v>OFF</v>
      </c>
      <c r="I3074" t="str">
        <f t="shared" si="498"/>
        <v>OFF</v>
      </c>
      <c r="J3074" t="str">
        <f t="shared" si="498"/>
        <v>OFF</v>
      </c>
      <c r="K3074" t="str">
        <f t="shared" si="498"/>
        <v>OFF</v>
      </c>
      <c r="L3074" t="str">
        <f t="shared" ref="L3074:S3075" si="499">"OFF"</f>
        <v>OFF</v>
      </c>
      <c r="M3074" t="str">
        <f t="shared" si="499"/>
        <v>OFF</v>
      </c>
      <c r="N3074" t="str">
        <f t="shared" si="499"/>
        <v>OFF</v>
      </c>
      <c r="O3074" t="str">
        <f t="shared" si="499"/>
        <v>OFF</v>
      </c>
      <c r="P3074" t="str">
        <f t="shared" si="499"/>
        <v>OFF</v>
      </c>
      <c r="Q3074" t="str">
        <f t="shared" si="499"/>
        <v>OFF</v>
      </c>
      <c r="R3074" t="str">
        <f t="shared" si="499"/>
        <v>OFF</v>
      </c>
      <c r="S3074" t="str">
        <f t="shared" si="499"/>
        <v>OFF</v>
      </c>
    </row>
    <row r="3075" spans="1:65">
      <c r="A3075" t="s">
        <v>3075</v>
      </c>
      <c r="B3075" t="str">
        <f t="shared" si="498"/>
        <v>OFF</v>
      </c>
      <c r="C3075" t="str">
        <f t="shared" si="498"/>
        <v>OFF</v>
      </c>
      <c r="D3075" t="str">
        <f t="shared" si="498"/>
        <v>OFF</v>
      </c>
      <c r="E3075" t="str">
        <f t="shared" si="498"/>
        <v>OFF</v>
      </c>
      <c r="F3075" t="str">
        <f t="shared" si="498"/>
        <v>OFF</v>
      </c>
      <c r="G3075" t="str">
        <f t="shared" si="498"/>
        <v>OFF</v>
      </c>
      <c r="H3075" t="str">
        <f t="shared" si="498"/>
        <v>OFF</v>
      </c>
      <c r="I3075" t="str">
        <f t="shared" si="498"/>
        <v>OFF</v>
      </c>
      <c r="J3075" t="str">
        <f t="shared" si="498"/>
        <v>OFF</v>
      </c>
      <c r="K3075" t="str">
        <f t="shared" si="498"/>
        <v>OFF</v>
      </c>
      <c r="L3075" t="str">
        <f t="shared" si="499"/>
        <v>OFF</v>
      </c>
      <c r="M3075" t="str">
        <f t="shared" si="499"/>
        <v>OFF</v>
      </c>
      <c r="N3075" t="str">
        <f t="shared" si="499"/>
        <v>OFF</v>
      </c>
      <c r="O3075" t="str">
        <f t="shared" si="499"/>
        <v>OFF</v>
      </c>
      <c r="P3075" t="str">
        <f t="shared" si="499"/>
        <v>OFF</v>
      </c>
      <c r="Q3075" t="str">
        <f t="shared" si="499"/>
        <v>OFF</v>
      </c>
      <c r="R3075" t="str">
        <f t="shared" si="499"/>
        <v>OFF</v>
      </c>
      <c r="S3075" t="str">
        <f t="shared" si="499"/>
        <v>OFF</v>
      </c>
    </row>
    <row r="3077" spans="1:65">
      <c r="B3077" t="s">
        <v>3076</v>
      </c>
      <c r="C3077">
        <v>1</v>
      </c>
      <c r="D3077">
        <v>1</v>
      </c>
      <c r="E3077">
        <v>1</v>
      </c>
    </row>
    <row r="3078" spans="1:65">
      <c r="B3078" t="s">
        <v>1508</v>
      </c>
    </row>
    <row r="3079" spans="1:65">
      <c r="A3079" t="s">
        <v>3077</v>
      </c>
      <c r="B3079">
        <v>0</v>
      </c>
    </row>
    <row r="3081" spans="1:65">
      <c r="B3081" t="s">
        <v>3078</v>
      </c>
      <c r="C3081">
        <v>2</v>
      </c>
      <c r="D3081">
        <v>64</v>
      </c>
      <c r="E3081">
        <v>1</v>
      </c>
    </row>
    <row r="3082" spans="1:65">
      <c r="B3082" t="s">
        <v>3079</v>
      </c>
      <c r="C3082" t="s">
        <v>3080</v>
      </c>
      <c r="D3082" t="s">
        <v>3081</v>
      </c>
      <c r="E3082" t="s">
        <v>3082</v>
      </c>
      <c r="F3082" t="s">
        <v>3083</v>
      </c>
      <c r="G3082" t="s">
        <v>3084</v>
      </c>
      <c r="H3082" t="s">
        <v>3085</v>
      </c>
      <c r="I3082" t="s">
        <v>3086</v>
      </c>
      <c r="J3082" t="s">
        <v>3087</v>
      </c>
      <c r="K3082" t="s">
        <v>3088</v>
      </c>
      <c r="L3082" t="s">
        <v>3089</v>
      </c>
      <c r="M3082" t="s">
        <v>3090</v>
      </c>
      <c r="N3082" t="s">
        <v>3091</v>
      </c>
      <c r="O3082" t="s">
        <v>3092</v>
      </c>
      <c r="P3082" t="s">
        <v>3093</v>
      </c>
      <c r="Q3082" t="s">
        <v>3094</v>
      </c>
      <c r="R3082" t="s">
        <v>3095</v>
      </c>
      <c r="S3082" t="s">
        <v>3096</v>
      </c>
      <c r="T3082" t="s">
        <v>3097</v>
      </c>
      <c r="U3082" t="s">
        <v>3098</v>
      </c>
      <c r="V3082" t="s">
        <v>3099</v>
      </c>
      <c r="W3082" t="s">
        <v>3100</v>
      </c>
      <c r="X3082" t="s">
        <v>3101</v>
      </c>
      <c r="Y3082" t="s">
        <v>3102</v>
      </c>
      <c r="Z3082" t="s">
        <v>3103</v>
      </c>
      <c r="AA3082" t="s">
        <v>3104</v>
      </c>
      <c r="AB3082" t="s">
        <v>3105</v>
      </c>
      <c r="AC3082" t="s">
        <v>3106</v>
      </c>
      <c r="AD3082" t="s">
        <v>3107</v>
      </c>
      <c r="AE3082" t="s">
        <v>3108</v>
      </c>
      <c r="AF3082" t="s">
        <v>3109</v>
      </c>
      <c r="AG3082" t="s">
        <v>3110</v>
      </c>
      <c r="AH3082" t="s">
        <v>3111</v>
      </c>
      <c r="AI3082" t="s">
        <v>3112</v>
      </c>
      <c r="AJ3082" t="s">
        <v>3113</v>
      </c>
      <c r="AK3082" t="s">
        <v>3114</v>
      </c>
      <c r="AL3082" t="s">
        <v>3115</v>
      </c>
      <c r="AM3082" t="s">
        <v>3116</v>
      </c>
      <c r="AN3082" t="s">
        <v>3117</v>
      </c>
      <c r="AO3082" t="s">
        <v>3118</v>
      </c>
      <c r="AP3082" t="s">
        <v>3119</v>
      </c>
      <c r="AQ3082" t="s">
        <v>3120</v>
      </c>
      <c r="AR3082" t="s">
        <v>3121</v>
      </c>
      <c r="AS3082" t="s">
        <v>3122</v>
      </c>
      <c r="AT3082" t="s">
        <v>3123</v>
      </c>
      <c r="AU3082" t="s">
        <v>3124</v>
      </c>
      <c r="AV3082" t="s">
        <v>3125</v>
      </c>
      <c r="AW3082" t="s">
        <v>3126</v>
      </c>
      <c r="AX3082" t="s">
        <v>3127</v>
      </c>
      <c r="AY3082" t="s">
        <v>3128</v>
      </c>
      <c r="AZ3082" t="s">
        <v>3129</v>
      </c>
      <c r="BA3082" t="s">
        <v>3130</v>
      </c>
      <c r="BB3082" t="s">
        <v>3131</v>
      </c>
      <c r="BC3082" t="s">
        <v>3132</v>
      </c>
      <c r="BD3082" t="s">
        <v>3133</v>
      </c>
      <c r="BE3082" t="s">
        <v>3134</v>
      </c>
      <c r="BF3082" t="s">
        <v>3135</v>
      </c>
      <c r="BG3082" t="s">
        <v>3136</v>
      </c>
      <c r="BH3082" t="s">
        <v>3137</v>
      </c>
      <c r="BI3082" t="s">
        <v>3138</v>
      </c>
      <c r="BJ3082" t="s">
        <v>3139</v>
      </c>
      <c r="BK3082" t="s">
        <v>3140</v>
      </c>
      <c r="BL3082" t="s">
        <v>3141</v>
      </c>
      <c r="BM3082" t="s">
        <v>3142</v>
      </c>
    </row>
    <row r="3083" spans="1:65">
      <c r="A3083" t="s">
        <v>3143</v>
      </c>
      <c r="B3083">
        <v>0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v>0</v>
      </c>
      <c r="BH3083">
        <v>0</v>
      </c>
      <c r="BI3083">
        <v>0</v>
      </c>
      <c r="BJ3083">
        <v>0</v>
      </c>
      <c r="BK3083">
        <v>0</v>
      </c>
      <c r="BL3083">
        <v>0</v>
      </c>
      <c r="BM3083">
        <v>0</v>
      </c>
    </row>
    <row r="3084" spans="1:65">
      <c r="A3084" t="s">
        <v>3144</v>
      </c>
      <c r="B3084" t="str">
        <f t="shared" ref="B3084:AG3084" si="500">"NONE"</f>
        <v>NONE</v>
      </c>
      <c r="C3084" t="str">
        <f t="shared" si="500"/>
        <v>NONE</v>
      </c>
      <c r="D3084" t="str">
        <f t="shared" si="500"/>
        <v>NONE</v>
      </c>
      <c r="E3084" t="str">
        <f t="shared" si="500"/>
        <v>NONE</v>
      </c>
      <c r="F3084" t="str">
        <f t="shared" si="500"/>
        <v>NONE</v>
      </c>
      <c r="G3084" t="str">
        <f t="shared" si="500"/>
        <v>NONE</v>
      </c>
      <c r="H3084" t="str">
        <f t="shared" si="500"/>
        <v>NONE</v>
      </c>
      <c r="I3084" t="str">
        <f t="shared" si="500"/>
        <v>NONE</v>
      </c>
      <c r="J3084" t="str">
        <f t="shared" si="500"/>
        <v>NONE</v>
      </c>
      <c r="K3084" t="str">
        <f t="shared" si="500"/>
        <v>NONE</v>
      </c>
      <c r="L3084" t="str">
        <f t="shared" si="500"/>
        <v>NONE</v>
      </c>
      <c r="M3084" t="str">
        <f t="shared" si="500"/>
        <v>NONE</v>
      </c>
      <c r="N3084" t="str">
        <f t="shared" si="500"/>
        <v>NONE</v>
      </c>
      <c r="O3084" t="str">
        <f t="shared" si="500"/>
        <v>NONE</v>
      </c>
      <c r="P3084" t="str">
        <f t="shared" si="500"/>
        <v>NONE</v>
      </c>
      <c r="Q3084" t="str">
        <f t="shared" si="500"/>
        <v>NONE</v>
      </c>
      <c r="R3084" t="str">
        <f t="shared" si="500"/>
        <v>NONE</v>
      </c>
      <c r="S3084" t="str">
        <f t="shared" si="500"/>
        <v>NONE</v>
      </c>
      <c r="T3084" t="str">
        <f t="shared" si="500"/>
        <v>NONE</v>
      </c>
      <c r="U3084" t="str">
        <f t="shared" si="500"/>
        <v>NONE</v>
      </c>
      <c r="V3084" t="str">
        <f t="shared" si="500"/>
        <v>NONE</v>
      </c>
      <c r="W3084" t="str">
        <f t="shared" si="500"/>
        <v>NONE</v>
      </c>
      <c r="X3084" t="str">
        <f t="shared" si="500"/>
        <v>NONE</v>
      </c>
      <c r="Y3084" t="str">
        <f t="shared" si="500"/>
        <v>NONE</v>
      </c>
      <c r="Z3084" t="str">
        <f t="shared" si="500"/>
        <v>NONE</v>
      </c>
      <c r="AA3084" t="str">
        <f t="shared" si="500"/>
        <v>NONE</v>
      </c>
      <c r="AB3084" t="str">
        <f t="shared" si="500"/>
        <v>NONE</v>
      </c>
      <c r="AC3084" t="str">
        <f t="shared" si="500"/>
        <v>NONE</v>
      </c>
      <c r="AD3084" t="str">
        <f t="shared" si="500"/>
        <v>NONE</v>
      </c>
      <c r="AE3084" t="str">
        <f t="shared" si="500"/>
        <v>NONE</v>
      </c>
      <c r="AF3084" t="str">
        <f t="shared" si="500"/>
        <v>NONE</v>
      </c>
      <c r="AG3084" t="str">
        <f t="shared" si="500"/>
        <v>NONE</v>
      </c>
      <c r="AH3084" t="str">
        <f t="shared" ref="AH3084:BM3084" si="501">"NONE"</f>
        <v>NONE</v>
      </c>
      <c r="AI3084" t="str">
        <f t="shared" si="501"/>
        <v>NONE</v>
      </c>
      <c r="AJ3084" t="str">
        <f t="shared" si="501"/>
        <v>NONE</v>
      </c>
      <c r="AK3084" t="str">
        <f t="shared" si="501"/>
        <v>NONE</v>
      </c>
      <c r="AL3084" t="str">
        <f t="shared" si="501"/>
        <v>NONE</v>
      </c>
      <c r="AM3084" t="str">
        <f t="shared" si="501"/>
        <v>NONE</v>
      </c>
      <c r="AN3084" t="str">
        <f t="shared" si="501"/>
        <v>NONE</v>
      </c>
      <c r="AO3084" t="str">
        <f t="shared" si="501"/>
        <v>NONE</v>
      </c>
      <c r="AP3084" t="str">
        <f t="shared" si="501"/>
        <v>NONE</v>
      </c>
      <c r="AQ3084" t="str">
        <f t="shared" si="501"/>
        <v>NONE</v>
      </c>
      <c r="AR3084" t="str">
        <f t="shared" si="501"/>
        <v>NONE</v>
      </c>
      <c r="AS3084" t="str">
        <f t="shared" si="501"/>
        <v>NONE</v>
      </c>
      <c r="AT3084" t="str">
        <f t="shared" si="501"/>
        <v>NONE</v>
      </c>
      <c r="AU3084" t="str">
        <f t="shared" si="501"/>
        <v>NONE</v>
      </c>
      <c r="AV3084" t="str">
        <f t="shared" si="501"/>
        <v>NONE</v>
      </c>
      <c r="AW3084" t="str">
        <f t="shared" si="501"/>
        <v>NONE</v>
      </c>
      <c r="AX3084" t="str">
        <f t="shared" si="501"/>
        <v>NONE</v>
      </c>
      <c r="AY3084" t="str">
        <f t="shared" si="501"/>
        <v>NONE</v>
      </c>
      <c r="AZ3084" t="str">
        <f t="shared" si="501"/>
        <v>NONE</v>
      </c>
      <c r="BA3084" t="str">
        <f t="shared" si="501"/>
        <v>NONE</v>
      </c>
      <c r="BB3084" t="str">
        <f t="shared" si="501"/>
        <v>NONE</v>
      </c>
      <c r="BC3084" t="str">
        <f t="shared" si="501"/>
        <v>NONE</v>
      </c>
      <c r="BD3084" t="str">
        <f t="shared" si="501"/>
        <v>NONE</v>
      </c>
      <c r="BE3084" t="str">
        <f t="shared" si="501"/>
        <v>NONE</v>
      </c>
      <c r="BF3084" t="str">
        <f t="shared" si="501"/>
        <v>NONE</v>
      </c>
      <c r="BG3084" t="str">
        <f t="shared" si="501"/>
        <v>NONE</v>
      </c>
      <c r="BH3084" t="str">
        <f t="shared" si="501"/>
        <v>NONE</v>
      </c>
      <c r="BI3084" t="str">
        <f t="shared" si="501"/>
        <v>NONE</v>
      </c>
      <c r="BJ3084" t="str">
        <f t="shared" si="501"/>
        <v>NONE</v>
      </c>
      <c r="BK3084" t="str">
        <f t="shared" si="501"/>
        <v>NONE</v>
      </c>
      <c r="BL3084" t="str">
        <f t="shared" si="501"/>
        <v>NONE</v>
      </c>
      <c r="BM3084" t="str">
        <f t="shared" si="501"/>
        <v>NONE</v>
      </c>
    </row>
    <row r="3086" spans="1:65">
      <c r="B3086" t="s">
        <v>3145</v>
      </c>
      <c r="C3086">
        <v>4</v>
      </c>
      <c r="D3086">
        <v>16</v>
      </c>
      <c r="E3086">
        <v>1</v>
      </c>
    </row>
    <row r="3087" spans="1:65">
      <c r="B3087" t="s">
        <v>3146</v>
      </c>
      <c r="C3087" t="s">
        <v>3147</v>
      </c>
      <c r="D3087" t="s">
        <v>3148</v>
      </c>
      <c r="E3087" t="s">
        <v>3149</v>
      </c>
      <c r="F3087" t="s">
        <v>3150</v>
      </c>
      <c r="G3087" t="s">
        <v>3151</v>
      </c>
      <c r="H3087" t="s">
        <v>3152</v>
      </c>
      <c r="I3087" t="s">
        <v>3153</v>
      </c>
      <c r="J3087" t="s">
        <v>3154</v>
      </c>
      <c r="K3087" t="s">
        <v>3155</v>
      </c>
      <c r="L3087" t="s">
        <v>3156</v>
      </c>
      <c r="M3087" t="s">
        <v>3157</v>
      </c>
      <c r="N3087" t="s">
        <v>3158</v>
      </c>
      <c r="O3087" t="s">
        <v>3159</v>
      </c>
      <c r="P3087" t="s">
        <v>3160</v>
      </c>
      <c r="Q3087" t="s">
        <v>3161</v>
      </c>
    </row>
    <row r="3088" spans="1:65">
      <c r="A3088" t="s">
        <v>3162</v>
      </c>
      <c r="B3088">
        <v>0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</row>
    <row r="3089" spans="1:17">
      <c r="A3089" t="s">
        <v>3163</v>
      </c>
      <c r="B3089">
        <v>0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</row>
    <row r="3090" spans="1:17">
      <c r="A3090" t="s">
        <v>3164</v>
      </c>
      <c r="B3090">
        <v>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</row>
    <row r="3091" spans="1:17">
      <c r="A3091" t="s">
        <v>3165</v>
      </c>
      <c r="B3091">
        <v>0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</row>
    <row r="3093" spans="1:17">
      <c r="B3093" t="s">
        <v>3166</v>
      </c>
      <c r="C3093">
        <v>3</v>
      </c>
      <c r="D3093">
        <v>16</v>
      </c>
      <c r="E3093">
        <v>1</v>
      </c>
    </row>
    <row r="3094" spans="1:17">
      <c r="B3094" t="s">
        <v>3167</v>
      </c>
      <c r="C3094" t="s">
        <v>3168</v>
      </c>
      <c r="D3094" t="s">
        <v>3169</v>
      </c>
      <c r="E3094" t="s">
        <v>3170</v>
      </c>
      <c r="F3094" t="s">
        <v>3171</v>
      </c>
      <c r="G3094" t="s">
        <v>3172</v>
      </c>
      <c r="H3094" t="s">
        <v>3173</v>
      </c>
      <c r="I3094" t="s">
        <v>3174</v>
      </c>
      <c r="J3094" t="s">
        <v>3175</v>
      </c>
      <c r="K3094" t="s">
        <v>3176</v>
      </c>
      <c r="L3094" t="s">
        <v>3177</v>
      </c>
      <c r="M3094" t="s">
        <v>3178</v>
      </c>
      <c r="N3094" t="s">
        <v>3179</v>
      </c>
      <c r="O3094" t="s">
        <v>3180</v>
      </c>
      <c r="P3094" t="s">
        <v>3181</v>
      </c>
      <c r="Q3094" t="s">
        <v>3182</v>
      </c>
    </row>
    <row r="3095" spans="1:17">
      <c r="A3095" t="s">
        <v>3183</v>
      </c>
      <c r="B3095" t="str">
        <f t="shared" ref="B3095:H3095" si="502">"OFF"</f>
        <v>OFF</v>
      </c>
      <c r="C3095" t="str">
        <f t="shared" si="502"/>
        <v>OFF</v>
      </c>
      <c r="D3095" t="str">
        <f t="shared" si="502"/>
        <v>OFF</v>
      </c>
      <c r="E3095" t="str">
        <f t="shared" si="502"/>
        <v>OFF</v>
      </c>
      <c r="F3095" t="str">
        <f t="shared" si="502"/>
        <v>OFF</v>
      </c>
      <c r="G3095" t="str">
        <f t="shared" si="502"/>
        <v>OFF</v>
      </c>
      <c r="H3095" t="str">
        <f t="shared" si="502"/>
        <v>OFF</v>
      </c>
      <c r="I3095" t="str">
        <f>"ON"</f>
        <v>ON</v>
      </c>
      <c r="J3095" t="str">
        <f t="shared" ref="J3095:Q3095" si="503">"OFF"</f>
        <v>OFF</v>
      </c>
      <c r="K3095" t="str">
        <f t="shared" si="503"/>
        <v>OFF</v>
      </c>
      <c r="L3095" t="str">
        <f t="shared" si="503"/>
        <v>OFF</v>
      </c>
      <c r="M3095" t="str">
        <f t="shared" si="503"/>
        <v>OFF</v>
      </c>
      <c r="N3095" t="str">
        <f t="shared" si="503"/>
        <v>OFF</v>
      </c>
      <c r="O3095" t="str">
        <f t="shared" si="503"/>
        <v>OFF</v>
      </c>
      <c r="P3095" t="str">
        <f t="shared" si="503"/>
        <v>OFF</v>
      </c>
      <c r="Q3095" t="str">
        <f t="shared" si="503"/>
        <v>OFF</v>
      </c>
    </row>
    <row r="3096" spans="1:17">
      <c r="A3096" t="s">
        <v>53</v>
      </c>
      <c r="B3096" t="str">
        <f>"NON"</f>
        <v>NON</v>
      </c>
      <c r="C3096" t="str">
        <f>"NON"</f>
        <v>NON</v>
      </c>
      <c r="D3096" t="str">
        <f>"NON"</f>
        <v>NON</v>
      </c>
      <c r="E3096" t="str">
        <f>"MAX"</f>
        <v>MAX</v>
      </c>
      <c r="F3096" t="str">
        <f>"NON"</f>
        <v>NON</v>
      </c>
      <c r="G3096" t="str">
        <f>"NON"</f>
        <v>NON</v>
      </c>
      <c r="H3096" t="str">
        <f>"NON"</f>
        <v>NON</v>
      </c>
      <c r="I3096" t="str">
        <f>"MAX"</f>
        <v>MAX</v>
      </c>
      <c r="J3096" t="str">
        <f t="shared" ref="J3096:Q3096" si="504">"NON"</f>
        <v>NON</v>
      </c>
      <c r="K3096" t="str">
        <f t="shared" si="504"/>
        <v>NON</v>
      </c>
      <c r="L3096" t="str">
        <f t="shared" si="504"/>
        <v>NON</v>
      </c>
      <c r="M3096" t="str">
        <f t="shared" si="504"/>
        <v>NON</v>
      </c>
      <c r="N3096" t="str">
        <f t="shared" si="504"/>
        <v>NON</v>
      </c>
      <c r="O3096" t="str">
        <f t="shared" si="504"/>
        <v>NON</v>
      </c>
      <c r="P3096" t="str">
        <f t="shared" si="504"/>
        <v>NON</v>
      </c>
      <c r="Q3096" t="str">
        <f t="shared" si="504"/>
        <v>NON</v>
      </c>
    </row>
    <row r="3097" spans="1:17">
      <c r="A3097" t="s">
        <v>127</v>
      </c>
      <c r="B3097">
        <v>0</v>
      </c>
      <c r="C3097">
        <v>33</v>
      </c>
      <c r="D3097">
        <v>21</v>
      </c>
      <c r="E3097">
        <v>66</v>
      </c>
      <c r="F3097">
        <v>0</v>
      </c>
      <c r="G3097">
        <v>33</v>
      </c>
      <c r="H3097">
        <v>0</v>
      </c>
      <c r="I3097">
        <v>87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</row>
    <row r="3099" spans="1:17">
      <c r="B3099" t="s">
        <v>3184</v>
      </c>
      <c r="C3099">
        <v>3</v>
      </c>
      <c r="D3099">
        <v>16</v>
      </c>
      <c r="E3099">
        <v>1</v>
      </c>
    </row>
    <row r="3100" spans="1:17">
      <c r="B3100" t="s">
        <v>3167</v>
      </c>
      <c r="C3100" t="s">
        <v>3168</v>
      </c>
      <c r="D3100" t="s">
        <v>3169</v>
      </c>
      <c r="E3100" t="s">
        <v>3170</v>
      </c>
      <c r="F3100" t="s">
        <v>3171</v>
      </c>
      <c r="G3100" t="s">
        <v>3172</v>
      </c>
      <c r="H3100" t="s">
        <v>3173</v>
      </c>
      <c r="I3100" t="s">
        <v>3174</v>
      </c>
      <c r="J3100" t="s">
        <v>3175</v>
      </c>
      <c r="K3100" t="s">
        <v>3176</v>
      </c>
      <c r="L3100" t="s">
        <v>3177</v>
      </c>
      <c r="M3100" t="s">
        <v>3178</v>
      </c>
      <c r="N3100" t="s">
        <v>3179</v>
      </c>
      <c r="O3100" t="s">
        <v>3180</v>
      </c>
      <c r="P3100" t="s">
        <v>3181</v>
      </c>
      <c r="Q3100" t="s">
        <v>3182</v>
      </c>
    </row>
    <row r="3101" spans="1:17">
      <c r="A3101" t="s">
        <v>3183</v>
      </c>
      <c r="B3101" t="str">
        <f t="shared" ref="B3101:H3101" si="505">"OFF"</f>
        <v>OFF</v>
      </c>
      <c r="C3101" t="str">
        <f t="shared" si="505"/>
        <v>OFF</v>
      </c>
      <c r="D3101" t="str">
        <f t="shared" si="505"/>
        <v>OFF</v>
      </c>
      <c r="E3101" t="str">
        <f t="shared" si="505"/>
        <v>OFF</v>
      </c>
      <c r="F3101" t="str">
        <f t="shared" si="505"/>
        <v>OFF</v>
      </c>
      <c r="G3101" t="str">
        <f t="shared" si="505"/>
        <v>OFF</v>
      </c>
      <c r="H3101" t="str">
        <f t="shared" si="505"/>
        <v>OFF</v>
      </c>
      <c r="I3101" t="str">
        <f>"ON"</f>
        <v>ON</v>
      </c>
      <c r="J3101" t="str">
        <f t="shared" ref="J3101:Q3101" si="506">"OFF"</f>
        <v>OFF</v>
      </c>
      <c r="K3101" t="str">
        <f t="shared" si="506"/>
        <v>OFF</v>
      </c>
      <c r="L3101" t="str">
        <f t="shared" si="506"/>
        <v>OFF</v>
      </c>
      <c r="M3101" t="str">
        <f t="shared" si="506"/>
        <v>OFF</v>
      </c>
      <c r="N3101" t="str">
        <f t="shared" si="506"/>
        <v>OFF</v>
      </c>
      <c r="O3101" t="str">
        <f t="shared" si="506"/>
        <v>OFF</v>
      </c>
      <c r="P3101" t="str">
        <f t="shared" si="506"/>
        <v>OFF</v>
      </c>
      <c r="Q3101" t="str">
        <f t="shared" si="506"/>
        <v>OFF</v>
      </c>
    </row>
    <row r="3102" spans="1:17">
      <c r="A3102" t="s">
        <v>53</v>
      </c>
      <c r="B3102" t="str">
        <f>"NON"</f>
        <v>NON</v>
      </c>
      <c r="C3102" t="str">
        <f>"NON"</f>
        <v>NON</v>
      </c>
      <c r="D3102" t="str">
        <f>"NON"</f>
        <v>NON</v>
      </c>
      <c r="E3102" t="str">
        <f>"MAX"</f>
        <v>MAX</v>
      </c>
      <c r="F3102" t="str">
        <f>"NON"</f>
        <v>NON</v>
      </c>
      <c r="G3102" t="str">
        <f>"NON"</f>
        <v>NON</v>
      </c>
      <c r="H3102" t="str">
        <f>"NON"</f>
        <v>NON</v>
      </c>
      <c r="I3102" t="str">
        <f>"MAX"</f>
        <v>MAX</v>
      </c>
      <c r="J3102" t="str">
        <f t="shared" ref="J3102:Q3102" si="507">"NON"</f>
        <v>NON</v>
      </c>
      <c r="K3102" t="str">
        <f t="shared" si="507"/>
        <v>NON</v>
      </c>
      <c r="L3102" t="str">
        <f t="shared" si="507"/>
        <v>NON</v>
      </c>
      <c r="M3102" t="str">
        <f t="shared" si="507"/>
        <v>NON</v>
      </c>
      <c r="N3102" t="str">
        <f t="shared" si="507"/>
        <v>NON</v>
      </c>
      <c r="O3102" t="str">
        <f t="shared" si="507"/>
        <v>NON</v>
      </c>
      <c r="P3102" t="str">
        <f t="shared" si="507"/>
        <v>NON</v>
      </c>
      <c r="Q3102" t="str">
        <f t="shared" si="507"/>
        <v>NON</v>
      </c>
    </row>
    <row r="3103" spans="1:17">
      <c r="A3103" t="s">
        <v>127</v>
      </c>
      <c r="B3103">
        <v>0</v>
      </c>
      <c r="C3103">
        <v>33</v>
      </c>
      <c r="D3103">
        <v>20</v>
      </c>
      <c r="E3103">
        <v>67</v>
      </c>
      <c r="F3103">
        <v>0</v>
      </c>
      <c r="G3103">
        <v>33</v>
      </c>
      <c r="H3103">
        <v>0</v>
      </c>
      <c r="I3103">
        <v>87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</row>
    <row r="3105" spans="1:17">
      <c r="B3105" t="s">
        <v>3185</v>
      </c>
      <c r="C3105">
        <v>3</v>
      </c>
      <c r="D3105">
        <v>16</v>
      </c>
      <c r="E3105">
        <v>1</v>
      </c>
    </row>
    <row r="3106" spans="1:17">
      <c r="B3106" t="s">
        <v>3167</v>
      </c>
      <c r="C3106" t="s">
        <v>3168</v>
      </c>
      <c r="D3106" t="s">
        <v>3169</v>
      </c>
      <c r="E3106" t="s">
        <v>3170</v>
      </c>
      <c r="F3106" t="s">
        <v>3171</v>
      </c>
      <c r="G3106" t="s">
        <v>3172</v>
      </c>
      <c r="H3106" t="s">
        <v>3173</v>
      </c>
      <c r="I3106" t="s">
        <v>3174</v>
      </c>
      <c r="J3106" t="s">
        <v>3175</v>
      </c>
      <c r="K3106" t="s">
        <v>3176</v>
      </c>
      <c r="L3106" t="s">
        <v>3177</v>
      </c>
      <c r="M3106" t="s">
        <v>3178</v>
      </c>
      <c r="N3106" t="s">
        <v>3179</v>
      </c>
      <c r="O3106" t="s">
        <v>3180</v>
      </c>
      <c r="P3106" t="s">
        <v>3181</v>
      </c>
      <c r="Q3106" t="s">
        <v>3182</v>
      </c>
    </row>
    <row r="3107" spans="1:17">
      <c r="A3107" t="s">
        <v>3183</v>
      </c>
      <c r="B3107" t="str">
        <f t="shared" ref="B3107:H3107" si="508">"OFF"</f>
        <v>OFF</v>
      </c>
      <c r="C3107" t="str">
        <f t="shared" si="508"/>
        <v>OFF</v>
      </c>
      <c r="D3107" t="str">
        <f t="shared" si="508"/>
        <v>OFF</v>
      </c>
      <c r="E3107" t="str">
        <f t="shared" si="508"/>
        <v>OFF</v>
      </c>
      <c r="F3107" t="str">
        <f t="shared" si="508"/>
        <v>OFF</v>
      </c>
      <c r="G3107" t="str">
        <f t="shared" si="508"/>
        <v>OFF</v>
      </c>
      <c r="H3107" t="str">
        <f t="shared" si="508"/>
        <v>OFF</v>
      </c>
      <c r="I3107" t="str">
        <f>"ON"</f>
        <v>ON</v>
      </c>
      <c r="J3107" t="str">
        <f t="shared" ref="J3107:Q3107" si="509">"OFF"</f>
        <v>OFF</v>
      </c>
      <c r="K3107" t="str">
        <f t="shared" si="509"/>
        <v>OFF</v>
      </c>
      <c r="L3107" t="str">
        <f t="shared" si="509"/>
        <v>OFF</v>
      </c>
      <c r="M3107" t="str">
        <f t="shared" si="509"/>
        <v>OFF</v>
      </c>
      <c r="N3107" t="str">
        <f t="shared" si="509"/>
        <v>OFF</v>
      </c>
      <c r="O3107" t="str">
        <f t="shared" si="509"/>
        <v>OFF</v>
      </c>
      <c r="P3107" t="str">
        <f t="shared" si="509"/>
        <v>OFF</v>
      </c>
      <c r="Q3107" t="str">
        <f t="shared" si="509"/>
        <v>OFF</v>
      </c>
    </row>
    <row r="3108" spans="1:17">
      <c r="A3108" t="s">
        <v>53</v>
      </c>
      <c r="B3108" t="str">
        <f>"NON"</f>
        <v>NON</v>
      </c>
      <c r="C3108" t="str">
        <f>"NON"</f>
        <v>NON</v>
      </c>
      <c r="D3108" t="str">
        <f>"NON"</f>
        <v>NON</v>
      </c>
      <c r="E3108" t="str">
        <f>"MAX"</f>
        <v>MAX</v>
      </c>
      <c r="F3108" t="str">
        <f>"NON"</f>
        <v>NON</v>
      </c>
      <c r="G3108" t="str">
        <f>"NON"</f>
        <v>NON</v>
      </c>
      <c r="H3108" t="str">
        <f>"NON"</f>
        <v>NON</v>
      </c>
      <c r="I3108" t="str">
        <f>"MAX"</f>
        <v>MAX</v>
      </c>
      <c r="J3108" t="str">
        <f t="shared" ref="J3108:Q3108" si="510">"NON"</f>
        <v>NON</v>
      </c>
      <c r="K3108" t="str">
        <f t="shared" si="510"/>
        <v>NON</v>
      </c>
      <c r="L3108" t="str">
        <f t="shared" si="510"/>
        <v>NON</v>
      </c>
      <c r="M3108" t="str">
        <f t="shared" si="510"/>
        <v>NON</v>
      </c>
      <c r="N3108" t="str">
        <f t="shared" si="510"/>
        <v>NON</v>
      </c>
      <c r="O3108" t="str">
        <f t="shared" si="510"/>
        <v>NON</v>
      </c>
      <c r="P3108" t="str">
        <f t="shared" si="510"/>
        <v>NON</v>
      </c>
      <c r="Q3108" t="str">
        <f t="shared" si="510"/>
        <v>NON</v>
      </c>
    </row>
    <row r="3109" spans="1:17">
      <c r="A3109" t="s">
        <v>127</v>
      </c>
      <c r="B3109">
        <v>0</v>
      </c>
      <c r="C3109">
        <v>31</v>
      </c>
      <c r="D3109">
        <v>23</v>
      </c>
      <c r="E3109">
        <v>66</v>
      </c>
      <c r="F3109">
        <v>0</v>
      </c>
      <c r="G3109">
        <v>31</v>
      </c>
      <c r="H3109">
        <v>0</v>
      </c>
      <c r="I3109">
        <v>89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</row>
    <row r="3111" spans="1:17">
      <c r="B3111" t="s">
        <v>3186</v>
      </c>
      <c r="C3111">
        <v>3</v>
      </c>
      <c r="D3111">
        <v>16</v>
      </c>
      <c r="E3111">
        <v>1</v>
      </c>
    </row>
    <row r="3112" spans="1:17">
      <c r="B3112" t="s">
        <v>3167</v>
      </c>
      <c r="C3112" t="s">
        <v>3168</v>
      </c>
      <c r="D3112" t="s">
        <v>3169</v>
      </c>
      <c r="E3112" t="s">
        <v>3170</v>
      </c>
      <c r="F3112" t="s">
        <v>3171</v>
      </c>
      <c r="G3112" t="s">
        <v>3172</v>
      </c>
      <c r="H3112" t="s">
        <v>3173</v>
      </c>
      <c r="I3112" t="s">
        <v>3174</v>
      </c>
      <c r="J3112" t="s">
        <v>3175</v>
      </c>
      <c r="K3112" t="s">
        <v>3176</v>
      </c>
      <c r="L3112" t="s">
        <v>3177</v>
      </c>
      <c r="M3112" t="s">
        <v>3178</v>
      </c>
      <c r="N3112" t="s">
        <v>3179</v>
      </c>
      <c r="O3112" t="s">
        <v>3180</v>
      </c>
      <c r="P3112" t="s">
        <v>3181</v>
      </c>
      <c r="Q3112" t="s">
        <v>3182</v>
      </c>
    </row>
    <row r="3113" spans="1:17">
      <c r="A3113" t="s">
        <v>3183</v>
      </c>
      <c r="B3113" t="str">
        <f t="shared" ref="B3113:Q3113" si="511">"OFF"</f>
        <v>OFF</v>
      </c>
      <c r="C3113" t="str">
        <f t="shared" si="511"/>
        <v>OFF</v>
      </c>
      <c r="D3113" t="str">
        <f t="shared" si="511"/>
        <v>OFF</v>
      </c>
      <c r="E3113" t="str">
        <f t="shared" si="511"/>
        <v>OFF</v>
      </c>
      <c r="F3113" t="str">
        <f t="shared" si="511"/>
        <v>OFF</v>
      </c>
      <c r="G3113" t="str">
        <f t="shared" si="511"/>
        <v>OFF</v>
      </c>
      <c r="H3113" t="str">
        <f t="shared" si="511"/>
        <v>OFF</v>
      </c>
      <c r="I3113" t="str">
        <f t="shared" si="511"/>
        <v>OFF</v>
      </c>
      <c r="J3113" t="str">
        <f t="shared" si="511"/>
        <v>OFF</v>
      </c>
      <c r="K3113" t="str">
        <f t="shared" si="511"/>
        <v>OFF</v>
      </c>
      <c r="L3113" t="str">
        <f t="shared" si="511"/>
        <v>OFF</v>
      </c>
      <c r="M3113" t="str">
        <f t="shared" si="511"/>
        <v>OFF</v>
      </c>
      <c r="N3113" t="str">
        <f t="shared" si="511"/>
        <v>OFF</v>
      </c>
      <c r="O3113" t="str">
        <f t="shared" si="511"/>
        <v>OFF</v>
      </c>
      <c r="P3113" t="str">
        <f t="shared" si="511"/>
        <v>OFF</v>
      </c>
      <c r="Q3113" t="str">
        <f t="shared" si="511"/>
        <v>OFF</v>
      </c>
    </row>
    <row r="3114" spans="1:17">
      <c r="A3114" t="s">
        <v>53</v>
      </c>
      <c r="B3114" t="str">
        <f t="shared" ref="B3114:Q3114" si="512">"NON"</f>
        <v>NON</v>
      </c>
      <c r="C3114" t="str">
        <f t="shared" si="512"/>
        <v>NON</v>
      </c>
      <c r="D3114" t="str">
        <f t="shared" si="512"/>
        <v>NON</v>
      </c>
      <c r="E3114" t="str">
        <f t="shared" si="512"/>
        <v>NON</v>
      </c>
      <c r="F3114" t="str">
        <f t="shared" si="512"/>
        <v>NON</v>
      </c>
      <c r="G3114" t="str">
        <f t="shared" si="512"/>
        <v>NON</v>
      </c>
      <c r="H3114" t="str">
        <f t="shared" si="512"/>
        <v>NON</v>
      </c>
      <c r="I3114" t="str">
        <f t="shared" si="512"/>
        <v>NON</v>
      </c>
      <c r="J3114" t="str">
        <f t="shared" si="512"/>
        <v>NON</v>
      </c>
      <c r="K3114" t="str">
        <f t="shared" si="512"/>
        <v>NON</v>
      </c>
      <c r="L3114" t="str">
        <f t="shared" si="512"/>
        <v>NON</v>
      </c>
      <c r="M3114" t="str">
        <f t="shared" si="512"/>
        <v>NON</v>
      </c>
      <c r="N3114" t="str">
        <f t="shared" si="512"/>
        <v>NON</v>
      </c>
      <c r="O3114" t="str">
        <f t="shared" si="512"/>
        <v>NON</v>
      </c>
      <c r="P3114" t="str">
        <f t="shared" si="512"/>
        <v>NON</v>
      </c>
      <c r="Q3114" t="str">
        <f t="shared" si="512"/>
        <v>NON</v>
      </c>
    </row>
    <row r="3115" spans="1:17">
      <c r="A3115" t="s">
        <v>127</v>
      </c>
      <c r="B3115">
        <v>0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</row>
    <row r="3117" spans="1:17">
      <c r="B3117" t="s">
        <v>3187</v>
      </c>
      <c r="C3117">
        <v>3</v>
      </c>
      <c r="D3117">
        <v>16</v>
      </c>
      <c r="E3117">
        <v>1</v>
      </c>
    </row>
    <row r="3118" spans="1:17">
      <c r="B3118" t="s">
        <v>3167</v>
      </c>
      <c r="C3118" t="s">
        <v>3168</v>
      </c>
      <c r="D3118" t="s">
        <v>3169</v>
      </c>
      <c r="E3118" t="s">
        <v>3170</v>
      </c>
      <c r="F3118" t="s">
        <v>3171</v>
      </c>
      <c r="G3118" t="s">
        <v>3172</v>
      </c>
      <c r="H3118" t="s">
        <v>3173</v>
      </c>
      <c r="I3118" t="s">
        <v>3174</v>
      </c>
      <c r="J3118" t="s">
        <v>3175</v>
      </c>
      <c r="K3118" t="s">
        <v>3176</v>
      </c>
      <c r="L3118" t="s">
        <v>3177</v>
      </c>
      <c r="M3118" t="s">
        <v>3178</v>
      </c>
      <c r="N3118" t="s">
        <v>3179</v>
      </c>
      <c r="O3118" t="s">
        <v>3180</v>
      </c>
      <c r="P3118" t="s">
        <v>3181</v>
      </c>
      <c r="Q3118" t="s">
        <v>3182</v>
      </c>
    </row>
    <row r="3119" spans="1:17">
      <c r="A3119" t="s">
        <v>3183</v>
      </c>
      <c r="B3119" t="str">
        <f t="shared" ref="B3119:Q3119" si="513">"OFF"</f>
        <v>OFF</v>
      </c>
      <c r="C3119" t="str">
        <f t="shared" si="513"/>
        <v>OFF</v>
      </c>
      <c r="D3119" t="str">
        <f t="shared" si="513"/>
        <v>OFF</v>
      </c>
      <c r="E3119" t="str">
        <f t="shared" si="513"/>
        <v>OFF</v>
      </c>
      <c r="F3119" t="str">
        <f t="shared" si="513"/>
        <v>OFF</v>
      </c>
      <c r="G3119" t="str">
        <f t="shared" si="513"/>
        <v>OFF</v>
      </c>
      <c r="H3119" t="str">
        <f t="shared" si="513"/>
        <v>OFF</v>
      </c>
      <c r="I3119" t="str">
        <f t="shared" si="513"/>
        <v>OFF</v>
      </c>
      <c r="J3119" t="str">
        <f t="shared" si="513"/>
        <v>OFF</v>
      </c>
      <c r="K3119" t="str">
        <f t="shared" si="513"/>
        <v>OFF</v>
      </c>
      <c r="L3119" t="str">
        <f t="shared" si="513"/>
        <v>OFF</v>
      </c>
      <c r="M3119" t="str">
        <f t="shared" si="513"/>
        <v>OFF</v>
      </c>
      <c r="N3119" t="str">
        <f t="shared" si="513"/>
        <v>OFF</v>
      </c>
      <c r="O3119" t="str">
        <f t="shared" si="513"/>
        <v>OFF</v>
      </c>
      <c r="P3119" t="str">
        <f t="shared" si="513"/>
        <v>OFF</v>
      </c>
      <c r="Q3119" t="str">
        <f t="shared" si="513"/>
        <v>OFF</v>
      </c>
    </row>
    <row r="3120" spans="1:17">
      <c r="A3120" t="s">
        <v>53</v>
      </c>
      <c r="B3120" t="str">
        <f t="shared" ref="B3120:Q3120" si="514">"NON"</f>
        <v>NON</v>
      </c>
      <c r="C3120" t="str">
        <f t="shared" si="514"/>
        <v>NON</v>
      </c>
      <c r="D3120" t="str">
        <f t="shared" si="514"/>
        <v>NON</v>
      </c>
      <c r="E3120" t="str">
        <f t="shared" si="514"/>
        <v>NON</v>
      </c>
      <c r="F3120" t="str">
        <f t="shared" si="514"/>
        <v>NON</v>
      </c>
      <c r="G3120" t="str">
        <f t="shared" si="514"/>
        <v>NON</v>
      </c>
      <c r="H3120" t="str">
        <f t="shared" si="514"/>
        <v>NON</v>
      </c>
      <c r="I3120" t="str">
        <f t="shared" si="514"/>
        <v>NON</v>
      </c>
      <c r="J3120" t="str">
        <f t="shared" si="514"/>
        <v>NON</v>
      </c>
      <c r="K3120" t="str">
        <f t="shared" si="514"/>
        <v>NON</v>
      </c>
      <c r="L3120" t="str">
        <f t="shared" si="514"/>
        <v>NON</v>
      </c>
      <c r="M3120" t="str">
        <f t="shared" si="514"/>
        <v>NON</v>
      </c>
      <c r="N3120" t="str">
        <f t="shared" si="514"/>
        <v>NON</v>
      </c>
      <c r="O3120" t="str">
        <f t="shared" si="514"/>
        <v>NON</v>
      </c>
      <c r="P3120" t="str">
        <f t="shared" si="514"/>
        <v>NON</v>
      </c>
      <c r="Q3120" t="str">
        <f t="shared" si="514"/>
        <v>NON</v>
      </c>
    </row>
    <row r="3121" spans="1:17">
      <c r="A3121" t="s">
        <v>127</v>
      </c>
      <c r="B3121">
        <v>0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</row>
    <row r="3123" spans="1:17">
      <c r="B3123" t="s">
        <v>3188</v>
      </c>
      <c r="C3123">
        <v>3</v>
      </c>
      <c r="D3123">
        <v>16</v>
      </c>
      <c r="E3123">
        <v>1</v>
      </c>
    </row>
    <row r="3124" spans="1:17">
      <c r="B3124" t="s">
        <v>3167</v>
      </c>
      <c r="C3124" t="s">
        <v>3168</v>
      </c>
      <c r="D3124" t="s">
        <v>3169</v>
      </c>
      <c r="E3124" t="s">
        <v>3170</v>
      </c>
      <c r="F3124" t="s">
        <v>3171</v>
      </c>
      <c r="G3124" t="s">
        <v>3172</v>
      </c>
      <c r="H3124" t="s">
        <v>3173</v>
      </c>
      <c r="I3124" t="s">
        <v>3174</v>
      </c>
      <c r="J3124" t="s">
        <v>3175</v>
      </c>
      <c r="K3124" t="s">
        <v>3176</v>
      </c>
      <c r="L3124" t="s">
        <v>3177</v>
      </c>
      <c r="M3124" t="s">
        <v>3178</v>
      </c>
      <c r="N3124" t="s">
        <v>3179</v>
      </c>
      <c r="O3124" t="s">
        <v>3180</v>
      </c>
      <c r="P3124" t="s">
        <v>3181</v>
      </c>
      <c r="Q3124" t="s">
        <v>3182</v>
      </c>
    </row>
    <row r="3125" spans="1:17">
      <c r="A3125" t="s">
        <v>3183</v>
      </c>
      <c r="B3125" t="str">
        <f t="shared" ref="B3125:Q3125" si="515">"OFF"</f>
        <v>OFF</v>
      </c>
      <c r="C3125" t="str">
        <f t="shared" si="515"/>
        <v>OFF</v>
      </c>
      <c r="D3125" t="str">
        <f t="shared" si="515"/>
        <v>OFF</v>
      </c>
      <c r="E3125" t="str">
        <f t="shared" si="515"/>
        <v>OFF</v>
      </c>
      <c r="F3125" t="str">
        <f t="shared" si="515"/>
        <v>OFF</v>
      </c>
      <c r="G3125" t="str">
        <f t="shared" si="515"/>
        <v>OFF</v>
      </c>
      <c r="H3125" t="str">
        <f t="shared" si="515"/>
        <v>OFF</v>
      </c>
      <c r="I3125" t="str">
        <f t="shared" si="515"/>
        <v>OFF</v>
      </c>
      <c r="J3125" t="str">
        <f t="shared" si="515"/>
        <v>OFF</v>
      </c>
      <c r="K3125" t="str">
        <f t="shared" si="515"/>
        <v>OFF</v>
      </c>
      <c r="L3125" t="str">
        <f t="shared" si="515"/>
        <v>OFF</v>
      </c>
      <c r="M3125" t="str">
        <f t="shared" si="515"/>
        <v>OFF</v>
      </c>
      <c r="N3125" t="str">
        <f t="shared" si="515"/>
        <v>OFF</v>
      </c>
      <c r="O3125" t="str">
        <f t="shared" si="515"/>
        <v>OFF</v>
      </c>
      <c r="P3125" t="str">
        <f t="shared" si="515"/>
        <v>OFF</v>
      </c>
      <c r="Q3125" t="str">
        <f t="shared" si="515"/>
        <v>OFF</v>
      </c>
    </row>
    <row r="3126" spans="1:17">
      <c r="A3126" t="s">
        <v>53</v>
      </c>
      <c r="B3126" t="str">
        <f t="shared" ref="B3126:Q3126" si="516">"NON"</f>
        <v>NON</v>
      </c>
      <c r="C3126" t="str">
        <f t="shared" si="516"/>
        <v>NON</v>
      </c>
      <c r="D3126" t="str">
        <f t="shared" si="516"/>
        <v>NON</v>
      </c>
      <c r="E3126" t="str">
        <f t="shared" si="516"/>
        <v>NON</v>
      </c>
      <c r="F3126" t="str">
        <f t="shared" si="516"/>
        <v>NON</v>
      </c>
      <c r="G3126" t="str">
        <f t="shared" si="516"/>
        <v>NON</v>
      </c>
      <c r="H3126" t="str">
        <f t="shared" si="516"/>
        <v>NON</v>
      </c>
      <c r="I3126" t="str">
        <f t="shared" si="516"/>
        <v>NON</v>
      </c>
      <c r="J3126" t="str">
        <f t="shared" si="516"/>
        <v>NON</v>
      </c>
      <c r="K3126" t="str">
        <f t="shared" si="516"/>
        <v>NON</v>
      </c>
      <c r="L3126" t="str">
        <f t="shared" si="516"/>
        <v>NON</v>
      </c>
      <c r="M3126" t="str">
        <f t="shared" si="516"/>
        <v>NON</v>
      </c>
      <c r="N3126" t="str">
        <f t="shared" si="516"/>
        <v>NON</v>
      </c>
      <c r="O3126" t="str">
        <f t="shared" si="516"/>
        <v>NON</v>
      </c>
      <c r="P3126" t="str">
        <f t="shared" si="516"/>
        <v>NON</v>
      </c>
      <c r="Q3126" t="str">
        <f t="shared" si="516"/>
        <v>NON</v>
      </c>
    </row>
    <row r="3127" spans="1:17">
      <c r="A3127" t="s">
        <v>127</v>
      </c>
      <c r="B3127">
        <v>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</row>
    <row r="3129" spans="1:17">
      <c r="B3129" t="s">
        <v>3189</v>
      </c>
      <c r="C3129">
        <v>3</v>
      </c>
      <c r="D3129">
        <v>16</v>
      </c>
      <c r="E3129">
        <v>1</v>
      </c>
    </row>
    <row r="3130" spans="1:17">
      <c r="B3130" t="s">
        <v>3167</v>
      </c>
      <c r="C3130" t="s">
        <v>3168</v>
      </c>
      <c r="D3130" t="s">
        <v>3169</v>
      </c>
      <c r="E3130" t="s">
        <v>3170</v>
      </c>
      <c r="F3130" t="s">
        <v>3171</v>
      </c>
      <c r="G3130" t="s">
        <v>3172</v>
      </c>
      <c r="H3130" t="s">
        <v>3173</v>
      </c>
      <c r="I3130" t="s">
        <v>3174</v>
      </c>
      <c r="J3130" t="s">
        <v>3175</v>
      </c>
      <c r="K3130" t="s">
        <v>3176</v>
      </c>
      <c r="L3130" t="s">
        <v>3177</v>
      </c>
      <c r="M3130" t="s">
        <v>3178</v>
      </c>
      <c r="N3130" t="s">
        <v>3179</v>
      </c>
      <c r="O3130" t="s">
        <v>3180</v>
      </c>
      <c r="P3130" t="s">
        <v>3181</v>
      </c>
      <c r="Q3130" t="s">
        <v>3182</v>
      </c>
    </row>
    <row r="3131" spans="1:17">
      <c r="A3131" t="s">
        <v>3183</v>
      </c>
      <c r="B3131" t="str">
        <f t="shared" ref="B3131:Q3131" si="517">"OFF"</f>
        <v>OFF</v>
      </c>
      <c r="C3131" t="str">
        <f t="shared" si="517"/>
        <v>OFF</v>
      </c>
      <c r="D3131" t="str">
        <f t="shared" si="517"/>
        <v>OFF</v>
      </c>
      <c r="E3131" t="str">
        <f t="shared" si="517"/>
        <v>OFF</v>
      </c>
      <c r="F3131" t="str">
        <f t="shared" si="517"/>
        <v>OFF</v>
      </c>
      <c r="G3131" t="str">
        <f t="shared" si="517"/>
        <v>OFF</v>
      </c>
      <c r="H3131" t="str">
        <f t="shared" si="517"/>
        <v>OFF</v>
      </c>
      <c r="I3131" t="str">
        <f t="shared" si="517"/>
        <v>OFF</v>
      </c>
      <c r="J3131" t="str">
        <f t="shared" si="517"/>
        <v>OFF</v>
      </c>
      <c r="K3131" t="str">
        <f t="shared" si="517"/>
        <v>OFF</v>
      </c>
      <c r="L3131" t="str">
        <f t="shared" si="517"/>
        <v>OFF</v>
      </c>
      <c r="M3131" t="str">
        <f t="shared" si="517"/>
        <v>OFF</v>
      </c>
      <c r="N3131" t="str">
        <f t="shared" si="517"/>
        <v>OFF</v>
      </c>
      <c r="O3131" t="str">
        <f t="shared" si="517"/>
        <v>OFF</v>
      </c>
      <c r="P3131" t="str">
        <f t="shared" si="517"/>
        <v>OFF</v>
      </c>
      <c r="Q3131" t="str">
        <f t="shared" si="517"/>
        <v>OFF</v>
      </c>
    </row>
    <row r="3132" spans="1:17">
      <c r="A3132" t="s">
        <v>53</v>
      </c>
      <c r="B3132" t="str">
        <f t="shared" ref="B3132:Q3132" si="518">"NON"</f>
        <v>NON</v>
      </c>
      <c r="C3132" t="str">
        <f t="shared" si="518"/>
        <v>NON</v>
      </c>
      <c r="D3132" t="str">
        <f t="shared" si="518"/>
        <v>NON</v>
      </c>
      <c r="E3132" t="str">
        <f t="shared" si="518"/>
        <v>NON</v>
      </c>
      <c r="F3132" t="str">
        <f t="shared" si="518"/>
        <v>NON</v>
      </c>
      <c r="G3132" t="str">
        <f t="shared" si="518"/>
        <v>NON</v>
      </c>
      <c r="H3132" t="str">
        <f t="shared" si="518"/>
        <v>NON</v>
      </c>
      <c r="I3132" t="str">
        <f t="shared" si="518"/>
        <v>NON</v>
      </c>
      <c r="J3132" t="str">
        <f t="shared" si="518"/>
        <v>NON</v>
      </c>
      <c r="K3132" t="str">
        <f t="shared" si="518"/>
        <v>NON</v>
      </c>
      <c r="L3132" t="str">
        <f t="shared" si="518"/>
        <v>NON</v>
      </c>
      <c r="M3132" t="str">
        <f t="shared" si="518"/>
        <v>NON</v>
      </c>
      <c r="N3132" t="str">
        <f t="shared" si="518"/>
        <v>NON</v>
      </c>
      <c r="O3132" t="str">
        <f t="shared" si="518"/>
        <v>NON</v>
      </c>
      <c r="P3132" t="str">
        <f t="shared" si="518"/>
        <v>NON</v>
      </c>
      <c r="Q3132" t="str">
        <f t="shared" si="518"/>
        <v>NON</v>
      </c>
    </row>
    <row r="3133" spans="1:17">
      <c r="A3133" t="s">
        <v>127</v>
      </c>
      <c r="B3133">
        <v>0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</row>
    <row r="3135" spans="1:17">
      <c r="B3135" t="s">
        <v>3190</v>
      </c>
      <c r="C3135">
        <v>3</v>
      </c>
      <c r="D3135">
        <v>16</v>
      </c>
      <c r="E3135">
        <v>1</v>
      </c>
    </row>
    <row r="3136" spans="1:17">
      <c r="B3136" t="s">
        <v>3167</v>
      </c>
      <c r="C3136" t="s">
        <v>3168</v>
      </c>
      <c r="D3136" t="s">
        <v>3169</v>
      </c>
      <c r="E3136" t="s">
        <v>3170</v>
      </c>
      <c r="F3136" t="s">
        <v>3171</v>
      </c>
      <c r="G3136" t="s">
        <v>3172</v>
      </c>
      <c r="H3136" t="s">
        <v>3173</v>
      </c>
      <c r="I3136" t="s">
        <v>3174</v>
      </c>
      <c r="J3136" t="s">
        <v>3175</v>
      </c>
      <c r="K3136" t="s">
        <v>3176</v>
      </c>
      <c r="L3136" t="s">
        <v>3177</v>
      </c>
      <c r="M3136" t="s">
        <v>3178</v>
      </c>
      <c r="N3136" t="s">
        <v>3179</v>
      </c>
      <c r="O3136" t="s">
        <v>3180</v>
      </c>
      <c r="P3136" t="s">
        <v>3181</v>
      </c>
      <c r="Q3136" t="s">
        <v>3182</v>
      </c>
    </row>
    <row r="3137" spans="1:17">
      <c r="A3137" t="s">
        <v>3183</v>
      </c>
      <c r="B3137" t="str">
        <f t="shared" ref="B3137:Q3137" si="519">"OFF"</f>
        <v>OFF</v>
      </c>
      <c r="C3137" t="str">
        <f t="shared" si="519"/>
        <v>OFF</v>
      </c>
      <c r="D3137" t="str">
        <f t="shared" si="519"/>
        <v>OFF</v>
      </c>
      <c r="E3137" t="str">
        <f t="shared" si="519"/>
        <v>OFF</v>
      </c>
      <c r="F3137" t="str">
        <f t="shared" si="519"/>
        <v>OFF</v>
      </c>
      <c r="G3137" t="str">
        <f t="shared" si="519"/>
        <v>OFF</v>
      </c>
      <c r="H3137" t="str">
        <f t="shared" si="519"/>
        <v>OFF</v>
      </c>
      <c r="I3137" t="str">
        <f t="shared" si="519"/>
        <v>OFF</v>
      </c>
      <c r="J3137" t="str">
        <f t="shared" si="519"/>
        <v>OFF</v>
      </c>
      <c r="K3137" t="str">
        <f t="shared" si="519"/>
        <v>OFF</v>
      </c>
      <c r="L3137" t="str">
        <f t="shared" si="519"/>
        <v>OFF</v>
      </c>
      <c r="M3137" t="str">
        <f t="shared" si="519"/>
        <v>OFF</v>
      </c>
      <c r="N3137" t="str">
        <f t="shared" si="519"/>
        <v>OFF</v>
      </c>
      <c r="O3137" t="str">
        <f t="shared" si="519"/>
        <v>OFF</v>
      </c>
      <c r="P3137" t="str">
        <f t="shared" si="519"/>
        <v>OFF</v>
      </c>
      <c r="Q3137" t="str">
        <f t="shared" si="519"/>
        <v>OFF</v>
      </c>
    </row>
    <row r="3138" spans="1:17">
      <c r="A3138" t="s">
        <v>53</v>
      </c>
      <c r="B3138" t="str">
        <f t="shared" ref="B3138:Q3138" si="520">"NON"</f>
        <v>NON</v>
      </c>
      <c r="C3138" t="str">
        <f t="shared" si="520"/>
        <v>NON</v>
      </c>
      <c r="D3138" t="str">
        <f t="shared" si="520"/>
        <v>NON</v>
      </c>
      <c r="E3138" t="str">
        <f t="shared" si="520"/>
        <v>NON</v>
      </c>
      <c r="F3138" t="str">
        <f t="shared" si="520"/>
        <v>NON</v>
      </c>
      <c r="G3138" t="str">
        <f t="shared" si="520"/>
        <v>NON</v>
      </c>
      <c r="H3138" t="str">
        <f t="shared" si="520"/>
        <v>NON</v>
      </c>
      <c r="I3138" t="str">
        <f t="shared" si="520"/>
        <v>NON</v>
      </c>
      <c r="J3138" t="str">
        <f t="shared" si="520"/>
        <v>NON</v>
      </c>
      <c r="K3138" t="str">
        <f t="shared" si="520"/>
        <v>NON</v>
      </c>
      <c r="L3138" t="str">
        <f t="shared" si="520"/>
        <v>NON</v>
      </c>
      <c r="M3138" t="str">
        <f t="shared" si="520"/>
        <v>NON</v>
      </c>
      <c r="N3138" t="str">
        <f t="shared" si="520"/>
        <v>NON</v>
      </c>
      <c r="O3138" t="str">
        <f t="shared" si="520"/>
        <v>NON</v>
      </c>
      <c r="P3138" t="str">
        <f t="shared" si="520"/>
        <v>NON</v>
      </c>
      <c r="Q3138" t="str">
        <f t="shared" si="520"/>
        <v>NON</v>
      </c>
    </row>
    <row r="3139" spans="1:17">
      <c r="A3139" t="s">
        <v>127</v>
      </c>
      <c r="B3139">
        <v>0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</row>
    <row r="3141" spans="1:17">
      <c r="B3141" t="s">
        <v>3191</v>
      </c>
      <c r="C3141">
        <v>3</v>
      </c>
      <c r="D3141">
        <v>16</v>
      </c>
      <c r="E3141">
        <v>1</v>
      </c>
    </row>
    <row r="3142" spans="1:17">
      <c r="B3142" t="s">
        <v>3167</v>
      </c>
      <c r="C3142" t="s">
        <v>3168</v>
      </c>
      <c r="D3142" t="s">
        <v>3169</v>
      </c>
      <c r="E3142" t="s">
        <v>3170</v>
      </c>
      <c r="F3142" t="s">
        <v>3171</v>
      </c>
      <c r="G3142" t="s">
        <v>3172</v>
      </c>
      <c r="H3142" t="s">
        <v>3173</v>
      </c>
      <c r="I3142" t="s">
        <v>3174</v>
      </c>
      <c r="J3142" t="s">
        <v>3175</v>
      </c>
      <c r="K3142" t="s">
        <v>3176</v>
      </c>
      <c r="L3142" t="s">
        <v>3177</v>
      </c>
      <c r="M3142" t="s">
        <v>3178</v>
      </c>
      <c r="N3142" t="s">
        <v>3179</v>
      </c>
      <c r="O3142" t="s">
        <v>3180</v>
      </c>
      <c r="P3142" t="s">
        <v>3181</v>
      </c>
      <c r="Q3142" t="s">
        <v>3182</v>
      </c>
    </row>
    <row r="3143" spans="1:17">
      <c r="A3143" t="s">
        <v>3183</v>
      </c>
      <c r="B3143" t="str">
        <f t="shared" ref="B3143:Q3143" si="521">"OFF"</f>
        <v>OFF</v>
      </c>
      <c r="C3143" t="str">
        <f t="shared" si="521"/>
        <v>OFF</v>
      </c>
      <c r="D3143" t="str">
        <f t="shared" si="521"/>
        <v>OFF</v>
      </c>
      <c r="E3143" t="str">
        <f t="shared" si="521"/>
        <v>OFF</v>
      </c>
      <c r="F3143" t="str">
        <f t="shared" si="521"/>
        <v>OFF</v>
      </c>
      <c r="G3143" t="str">
        <f t="shared" si="521"/>
        <v>OFF</v>
      </c>
      <c r="H3143" t="str">
        <f t="shared" si="521"/>
        <v>OFF</v>
      </c>
      <c r="I3143" t="str">
        <f t="shared" si="521"/>
        <v>OFF</v>
      </c>
      <c r="J3143" t="str">
        <f t="shared" si="521"/>
        <v>OFF</v>
      </c>
      <c r="K3143" t="str">
        <f t="shared" si="521"/>
        <v>OFF</v>
      </c>
      <c r="L3143" t="str">
        <f t="shared" si="521"/>
        <v>OFF</v>
      </c>
      <c r="M3143" t="str">
        <f t="shared" si="521"/>
        <v>OFF</v>
      </c>
      <c r="N3143" t="str">
        <f t="shared" si="521"/>
        <v>OFF</v>
      </c>
      <c r="O3143" t="str">
        <f t="shared" si="521"/>
        <v>OFF</v>
      </c>
      <c r="P3143" t="str">
        <f t="shared" si="521"/>
        <v>OFF</v>
      </c>
      <c r="Q3143" t="str">
        <f t="shared" si="521"/>
        <v>OFF</v>
      </c>
    </row>
    <row r="3144" spans="1:17">
      <c r="A3144" t="s">
        <v>53</v>
      </c>
      <c r="B3144" t="str">
        <f t="shared" ref="B3144:Q3144" si="522">"NON"</f>
        <v>NON</v>
      </c>
      <c r="C3144" t="str">
        <f t="shared" si="522"/>
        <v>NON</v>
      </c>
      <c r="D3144" t="str">
        <f t="shared" si="522"/>
        <v>NON</v>
      </c>
      <c r="E3144" t="str">
        <f t="shared" si="522"/>
        <v>NON</v>
      </c>
      <c r="F3144" t="str">
        <f t="shared" si="522"/>
        <v>NON</v>
      </c>
      <c r="G3144" t="str">
        <f t="shared" si="522"/>
        <v>NON</v>
      </c>
      <c r="H3144" t="str">
        <f t="shared" si="522"/>
        <v>NON</v>
      </c>
      <c r="I3144" t="str">
        <f t="shared" si="522"/>
        <v>NON</v>
      </c>
      <c r="J3144" t="str">
        <f t="shared" si="522"/>
        <v>NON</v>
      </c>
      <c r="K3144" t="str">
        <f t="shared" si="522"/>
        <v>NON</v>
      </c>
      <c r="L3144" t="str">
        <f t="shared" si="522"/>
        <v>NON</v>
      </c>
      <c r="M3144" t="str">
        <f t="shared" si="522"/>
        <v>NON</v>
      </c>
      <c r="N3144" t="str">
        <f t="shared" si="522"/>
        <v>NON</v>
      </c>
      <c r="O3144" t="str">
        <f t="shared" si="522"/>
        <v>NON</v>
      </c>
      <c r="P3144" t="str">
        <f t="shared" si="522"/>
        <v>NON</v>
      </c>
      <c r="Q3144" t="str">
        <f t="shared" si="522"/>
        <v>NON</v>
      </c>
    </row>
    <row r="3145" spans="1:17">
      <c r="A3145" t="s">
        <v>127</v>
      </c>
      <c r="B3145">
        <v>0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</row>
    <row r="3147" spans="1:17">
      <c r="B3147" t="s">
        <v>3192</v>
      </c>
      <c r="C3147">
        <v>3</v>
      </c>
      <c r="D3147">
        <v>16</v>
      </c>
      <c r="E3147">
        <v>1</v>
      </c>
    </row>
    <row r="3148" spans="1:17">
      <c r="B3148" t="s">
        <v>3167</v>
      </c>
      <c r="C3148" t="s">
        <v>3168</v>
      </c>
      <c r="D3148" t="s">
        <v>3169</v>
      </c>
      <c r="E3148" t="s">
        <v>3170</v>
      </c>
      <c r="F3148" t="s">
        <v>3171</v>
      </c>
      <c r="G3148" t="s">
        <v>3172</v>
      </c>
      <c r="H3148" t="s">
        <v>3173</v>
      </c>
      <c r="I3148" t="s">
        <v>3174</v>
      </c>
      <c r="J3148" t="s">
        <v>3175</v>
      </c>
      <c r="K3148" t="s">
        <v>3176</v>
      </c>
      <c r="L3148" t="s">
        <v>3177</v>
      </c>
      <c r="M3148" t="s">
        <v>3178</v>
      </c>
      <c r="N3148" t="s">
        <v>3179</v>
      </c>
      <c r="O3148" t="s">
        <v>3180</v>
      </c>
      <c r="P3148" t="s">
        <v>3181</v>
      </c>
      <c r="Q3148" t="s">
        <v>3182</v>
      </c>
    </row>
    <row r="3149" spans="1:17">
      <c r="A3149" t="s">
        <v>3183</v>
      </c>
      <c r="B3149" t="str">
        <f t="shared" ref="B3149:Q3149" si="523">"OFF"</f>
        <v>OFF</v>
      </c>
      <c r="C3149" t="str">
        <f t="shared" si="523"/>
        <v>OFF</v>
      </c>
      <c r="D3149" t="str">
        <f t="shared" si="523"/>
        <v>OFF</v>
      </c>
      <c r="E3149" t="str">
        <f t="shared" si="523"/>
        <v>OFF</v>
      </c>
      <c r="F3149" t="str">
        <f t="shared" si="523"/>
        <v>OFF</v>
      </c>
      <c r="G3149" t="str">
        <f t="shared" si="523"/>
        <v>OFF</v>
      </c>
      <c r="H3149" t="str">
        <f t="shared" si="523"/>
        <v>OFF</v>
      </c>
      <c r="I3149" t="str">
        <f t="shared" si="523"/>
        <v>OFF</v>
      </c>
      <c r="J3149" t="str">
        <f t="shared" si="523"/>
        <v>OFF</v>
      </c>
      <c r="K3149" t="str">
        <f t="shared" si="523"/>
        <v>OFF</v>
      </c>
      <c r="L3149" t="str">
        <f t="shared" si="523"/>
        <v>OFF</v>
      </c>
      <c r="M3149" t="str">
        <f t="shared" si="523"/>
        <v>OFF</v>
      </c>
      <c r="N3149" t="str">
        <f t="shared" si="523"/>
        <v>OFF</v>
      </c>
      <c r="O3149" t="str">
        <f t="shared" si="523"/>
        <v>OFF</v>
      </c>
      <c r="P3149" t="str">
        <f t="shared" si="523"/>
        <v>OFF</v>
      </c>
      <c r="Q3149" t="str">
        <f t="shared" si="523"/>
        <v>OFF</v>
      </c>
    </row>
    <row r="3150" spans="1:17">
      <c r="A3150" t="s">
        <v>53</v>
      </c>
      <c r="B3150" t="str">
        <f t="shared" ref="B3150:Q3150" si="524">"NON"</f>
        <v>NON</v>
      </c>
      <c r="C3150" t="str">
        <f t="shared" si="524"/>
        <v>NON</v>
      </c>
      <c r="D3150" t="str">
        <f t="shared" si="524"/>
        <v>NON</v>
      </c>
      <c r="E3150" t="str">
        <f t="shared" si="524"/>
        <v>NON</v>
      </c>
      <c r="F3150" t="str">
        <f t="shared" si="524"/>
        <v>NON</v>
      </c>
      <c r="G3150" t="str">
        <f t="shared" si="524"/>
        <v>NON</v>
      </c>
      <c r="H3150" t="str">
        <f t="shared" si="524"/>
        <v>NON</v>
      </c>
      <c r="I3150" t="str">
        <f t="shared" si="524"/>
        <v>NON</v>
      </c>
      <c r="J3150" t="str">
        <f t="shared" si="524"/>
        <v>NON</v>
      </c>
      <c r="K3150" t="str">
        <f t="shared" si="524"/>
        <v>NON</v>
      </c>
      <c r="L3150" t="str">
        <f t="shared" si="524"/>
        <v>NON</v>
      </c>
      <c r="M3150" t="str">
        <f t="shared" si="524"/>
        <v>NON</v>
      </c>
      <c r="N3150" t="str">
        <f t="shared" si="524"/>
        <v>NON</v>
      </c>
      <c r="O3150" t="str">
        <f t="shared" si="524"/>
        <v>NON</v>
      </c>
      <c r="P3150" t="str">
        <f t="shared" si="524"/>
        <v>NON</v>
      </c>
      <c r="Q3150" t="str">
        <f t="shared" si="524"/>
        <v>NON</v>
      </c>
    </row>
    <row r="3151" spans="1:17">
      <c r="A3151" t="s">
        <v>127</v>
      </c>
      <c r="B3151">
        <v>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</row>
    <row r="3153" spans="1:17">
      <c r="B3153" t="s">
        <v>3193</v>
      </c>
      <c r="C3153">
        <v>3</v>
      </c>
      <c r="D3153">
        <v>16</v>
      </c>
      <c r="E3153">
        <v>1</v>
      </c>
    </row>
    <row r="3154" spans="1:17">
      <c r="B3154" t="s">
        <v>3167</v>
      </c>
      <c r="C3154" t="s">
        <v>3168</v>
      </c>
      <c r="D3154" t="s">
        <v>3169</v>
      </c>
      <c r="E3154" t="s">
        <v>3170</v>
      </c>
      <c r="F3154" t="s">
        <v>3171</v>
      </c>
      <c r="G3154" t="s">
        <v>3172</v>
      </c>
      <c r="H3154" t="s">
        <v>3173</v>
      </c>
      <c r="I3154" t="s">
        <v>3174</v>
      </c>
      <c r="J3154" t="s">
        <v>3175</v>
      </c>
      <c r="K3154" t="s">
        <v>3176</v>
      </c>
      <c r="L3154" t="s">
        <v>3177</v>
      </c>
      <c r="M3154" t="s">
        <v>3178</v>
      </c>
      <c r="N3154" t="s">
        <v>3179</v>
      </c>
      <c r="O3154" t="s">
        <v>3180</v>
      </c>
      <c r="P3154" t="s">
        <v>3181</v>
      </c>
      <c r="Q3154" t="s">
        <v>3182</v>
      </c>
    </row>
    <row r="3155" spans="1:17">
      <c r="A3155" t="s">
        <v>3183</v>
      </c>
      <c r="B3155" t="str">
        <f t="shared" ref="B3155:Q3155" si="525">"OFF"</f>
        <v>OFF</v>
      </c>
      <c r="C3155" t="str">
        <f t="shared" si="525"/>
        <v>OFF</v>
      </c>
      <c r="D3155" t="str">
        <f t="shared" si="525"/>
        <v>OFF</v>
      </c>
      <c r="E3155" t="str">
        <f t="shared" si="525"/>
        <v>OFF</v>
      </c>
      <c r="F3155" t="str">
        <f t="shared" si="525"/>
        <v>OFF</v>
      </c>
      <c r="G3155" t="str">
        <f t="shared" si="525"/>
        <v>OFF</v>
      </c>
      <c r="H3155" t="str">
        <f t="shared" si="525"/>
        <v>OFF</v>
      </c>
      <c r="I3155" t="str">
        <f t="shared" si="525"/>
        <v>OFF</v>
      </c>
      <c r="J3155" t="str">
        <f t="shared" si="525"/>
        <v>OFF</v>
      </c>
      <c r="K3155" t="str">
        <f t="shared" si="525"/>
        <v>OFF</v>
      </c>
      <c r="L3155" t="str">
        <f t="shared" si="525"/>
        <v>OFF</v>
      </c>
      <c r="M3155" t="str">
        <f t="shared" si="525"/>
        <v>OFF</v>
      </c>
      <c r="N3155" t="str">
        <f t="shared" si="525"/>
        <v>OFF</v>
      </c>
      <c r="O3155" t="str">
        <f t="shared" si="525"/>
        <v>OFF</v>
      </c>
      <c r="P3155" t="str">
        <f t="shared" si="525"/>
        <v>OFF</v>
      </c>
      <c r="Q3155" t="str">
        <f t="shared" si="525"/>
        <v>OFF</v>
      </c>
    </row>
    <row r="3156" spans="1:17">
      <c r="A3156" t="s">
        <v>53</v>
      </c>
      <c r="B3156" t="str">
        <f t="shared" ref="B3156:Q3156" si="526">"NON"</f>
        <v>NON</v>
      </c>
      <c r="C3156" t="str">
        <f t="shared" si="526"/>
        <v>NON</v>
      </c>
      <c r="D3156" t="str">
        <f t="shared" si="526"/>
        <v>NON</v>
      </c>
      <c r="E3156" t="str">
        <f t="shared" si="526"/>
        <v>NON</v>
      </c>
      <c r="F3156" t="str">
        <f t="shared" si="526"/>
        <v>NON</v>
      </c>
      <c r="G3156" t="str">
        <f t="shared" si="526"/>
        <v>NON</v>
      </c>
      <c r="H3156" t="str">
        <f t="shared" si="526"/>
        <v>NON</v>
      </c>
      <c r="I3156" t="str">
        <f t="shared" si="526"/>
        <v>NON</v>
      </c>
      <c r="J3156" t="str">
        <f t="shared" si="526"/>
        <v>NON</v>
      </c>
      <c r="K3156" t="str">
        <f t="shared" si="526"/>
        <v>NON</v>
      </c>
      <c r="L3156" t="str">
        <f t="shared" si="526"/>
        <v>NON</v>
      </c>
      <c r="M3156" t="str">
        <f t="shared" si="526"/>
        <v>NON</v>
      </c>
      <c r="N3156" t="str">
        <f t="shared" si="526"/>
        <v>NON</v>
      </c>
      <c r="O3156" t="str">
        <f t="shared" si="526"/>
        <v>NON</v>
      </c>
      <c r="P3156" t="str">
        <f t="shared" si="526"/>
        <v>NON</v>
      </c>
      <c r="Q3156" t="str">
        <f t="shared" si="526"/>
        <v>NON</v>
      </c>
    </row>
    <row r="3157" spans="1:17">
      <c r="A3157" t="s">
        <v>127</v>
      </c>
      <c r="B3157">
        <v>0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</row>
    <row r="3159" spans="1:17">
      <c r="B3159" t="s">
        <v>3194</v>
      </c>
      <c r="C3159">
        <v>3</v>
      </c>
      <c r="D3159">
        <v>16</v>
      </c>
      <c r="E3159">
        <v>1</v>
      </c>
    </row>
    <row r="3160" spans="1:17">
      <c r="B3160" t="s">
        <v>3167</v>
      </c>
      <c r="C3160" t="s">
        <v>3168</v>
      </c>
      <c r="D3160" t="s">
        <v>3169</v>
      </c>
      <c r="E3160" t="s">
        <v>3170</v>
      </c>
      <c r="F3160" t="s">
        <v>3171</v>
      </c>
      <c r="G3160" t="s">
        <v>3172</v>
      </c>
      <c r="H3160" t="s">
        <v>3173</v>
      </c>
      <c r="I3160" t="s">
        <v>3174</v>
      </c>
      <c r="J3160" t="s">
        <v>3175</v>
      </c>
      <c r="K3160" t="s">
        <v>3176</v>
      </c>
      <c r="L3160" t="s">
        <v>3177</v>
      </c>
      <c r="M3160" t="s">
        <v>3178</v>
      </c>
      <c r="N3160" t="s">
        <v>3179</v>
      </c>
      <c r="O3160" t="s">
        <v>3180</v>
      </c>
      <c r="P3160" t="s">
        <v>3181</v>
      </c>
      <c r="Q3160" t="s">
        <v>3182</v>
      </c>
    </row>
    <row r="3161" spans="1:17">
      <c r="A3161" t="s">
        <v>3183</v>
      </c>
      <c r="B3161" t="str">
        <f t="shared" ref="B3161:Q3161" si="527">"OFF"</f>
        <v>OFF</v>
      </c>
      <c r="C3161" t="str">
        <f t="shared" si="527"/>
        <v>OFF</v>
      </c>
      <c r="D3161" t="str">
        <f t="shared" si="527"/>
        <v>OFF</v>
      </c>
      <c r="E3161" t="str">
        <f t="shared" si="527"/>
        <v>OFF</v>
      </c>
      <c r="F3161" t="str">
        <f t="shared" si="527"/>
        <v>OFF</v>
      </c>
      <c r="G3161" t="str">
        <f t="shared" si="527"/>
        <v>OFF</v>
      </c>
      <c r="H3161" t="str">
        <f t="shared" si="527"/>
        <v>OFF</v>
      </c>
      <c r="I3161" t="str">
        <f t="shared" si="527"/>
        <v>OFF</v>
      </c>
      <c r="J3161" t="str">
        <f t="shared" si="527"/>
        <v>OFF</v>
      </c>
      <c r="K3161" t="str">
        <f t="shared" si="527"/>
        <v>OFF</v>
      </c>
      <c r="L3161" t="str">
        <f t="shared" si="527"/>
        <v>OFF</v>
      </c>
      <c r="M3161" t="str">
        <f t="shared" si="527"/>
        <v>OFF</v>
      </c>
      <c r="N3161" t="str">
        <f t="shared" si="527"/>
        <v>OFF</v>
      </c>
      <c r="O3161" t="str">
        <f t="shared" si="527"/>
        <v>OFF</v>
      </c>
      <c r="P3161" t="str">
        <f t="shared" si="527"/>
        <v>OFF</v>
      </c>
      <c r="Q3161" t="str">
        <f t="shared" si="527"/>
        <v>OFF</v>
      </c>
    </row>
    <row r="3162" spans="1:17">
      <c r="A3162" t="s">
        <v>53</v>
      </c>
      <c r="B3162" t="str">
        <f t="shared" ref="B3162:Q3162" si="528">"NON"</f>
        <v>NON</v>
      </c>
      <c r="C3162" t="str">
        <f t="shared" si="528"/>
        <v>NON</v>
      </c>
      <c r="D3162" t="str">
        <f t="shared" si="528"/>
        <v>NON</v>
      </c>
      <c r="E3162" t="str">
        <f t="shared" si="528"/>
        <v>NON</v>
      </c>
      <c r="F3162" t="str">
        <f t="shared" si="528"/>
        <v>NON</v>
      </c>
      <c r="G3162" t="str">
        <f t="shared" si="528"/>
        <v>NON</v>
      </c>
      <c r="H3162" t="str">
        <f t="shared" si="528"/>
        <v>NON</v>
      </c>
      <c r="I3162" t="str">
        <f t="shared" si="528"/>
        <v>NON</v>
      </c>
      <c r="J3162" t="str">
        <f t="shared" si="528"/>
        <v>NON</v>
      </c>
      <c r="K3162" t="str">
        <f t="shared" si="528"/>
        <v>NON</v>
      </c>
      <c r="L3162" t="str">
        <f t="shared" si="528"/>
        <v>NON</v>
      </c>
      <c r="M3162" t="str">
        <f t="shared" si="528"/>
        <v>NON</v>
      </c>
      <c r="N3162" t="str">
        <f t="shared" si="528"/>
        <v>NON</v>
      </c>
      <c r="O3162" t="str">
        <f t="shared" si="528"/>
        <v>NON</v>
      </c>
      <c r="P3162" t="str">
        <f t="shared" si="528"/>
        <v>NON</v>
      </c>
      <c r="Q3162" t="str">
        <f t="shared" si="528"/>
        <v>NON</v>
      </c>
    </row>
    <row r="3163" spans="1:17">
      <c r="A3163" t="s">
        <v>127</v>
      </c>
      <c r="B3163">
        <v>0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</row>
    <row r="3165" spans="1:17">
      <c r="B3165" t="s">
        <v>3195</v>
      </c>
      <c r="C3165">
        <v>3</v>
      </c>
      <c r="D3165">
        <v>16</v>
      </c>
      <c r="E3165">
        <v>1</v>
      </c>
    </row>
    <row r="3166" spans="1:17">
      <c r="B3166" t="s">
        <v>3167</v>
      </c>
      <c r="C3166" t="s">
        <v>3168</v>
      </c>
      <c r="D3166" t="s">
        <v>3169</v>
      </c>
      <c r="E3166" t="s">
        <v>3170</v>
      </c>
      <c r="F3166" t="s">
        <v>3171</v>
      </c>
      <c r="G3166" t="s">
        <v>3172</v>
      </c>
      <c r="H3166" t="s">
        <v>3173</v>
      </c>
      <c r="I3166" t="s">
        <v>3174</v>
      </c>
      <c r="J3166" t="s">
        <v>3175</v>
      </c>
      <c r="K3166" t="s">
        <v>3176</v>
      </c>
      <c r="L3166" t="s">
        <v>3177</v>
      </c>
      <c r="M3166" t="s">
        <v>3178</v>
      </c>
      <c r="N3166" t="s">
        <v>3179</v>
      </c>
      <c r="O3166" t="s">
        <v>3180</v>
      </c>
      <c r="P3166" t="s">
        <v>3181</v>
      </c>
      <c r="Q3166" t="s">
        <v>3182</v>
      </c>
    </row>
    <row r="3167" spans="1:17">
      <c r="A3167" t="s">
        <v>3183</v>
      </c>
      <c r="B3167" t="str">
        <f t="shared" ref="B3167:Q3167" si="529">"OFF"</f>
        <v>OFF</v>
      </c>
      <c r="C3167" t="str">
        <f t="shared" si="529"/>
        <v>OFF</v>
      </c>
      <c r="D3167" t="str">
        <f t="shared" si="529"/>
        <v>OFF</v>
      </c>
      <c r="E3167" t="str">
        <f t="shared" si="529"/>
        <v>OFF</v>
      </c>
      <c r="F3167" t="str">
        <f t="shared" si="529"/>
        <v>OFF</v>
      </c>
      <c r="G3167" t="str">
        <f t="shared" si="529"/>
        <v>OFF</v>
      </c>
      <c r="H3167" t="str">
        <f t="shared" si="529"/>
        <v>OFF</v>
      </c>
      <c r="I3167" t="str">
        <f t="shared" si="529"/>
        <v>OFF</v>
      </c>
      <c r="J3167" t="str">
        <f t="shared" si="529"/>
        <v>OFF</v>
      </c>
      <c r="K3167" t="str">
        <f t="shared" si="529"/>
        <v>OFF</v>
      </c>
      <c r="L3167" t="str">
        <f t="shared" si="529"/>
        <v>OFF</v>
      </c>
      <c r="M3167" t="str">
        <f t="shared" si="529"/>
        <v>OFF</v>
      </c>
      <c r="N3167" t="str">
        <f t="shared" si="529"/>
        <v>OFF</v>
      </c>
      <c r="O3167" t="str">
        <f t="shared" si="529"/>
        <v>OFF</v>
      </c>
      <c r="P3167" t="str">
        <f t="shared" si="529"/>
        <v>OFF</v>
      </c>
      <c r="Q3167" t="str">
        <f t="shared" si="529"/>
        <v>OFF</v>
      </c>
    </row>
    <row r="3168" spans="1:17">
      <c r="A3168" t="s">
        <v>53</v>
      </c>
      <c r="B3168" t="str">
        <f t="shared" ref="B3168:Q3168" si="530">"NON"</f>
        <v>NON</v>
      </c>
      <c r="C3168" t="str">
        <f t="shared" si="530"/>
        <v>NON</v>
      </c>
      <c r="D3168" t="str">
        <f t="shared" si="530"/>
        <v>NON</v>
      </c>
      <c r="E3168" t="str">
        <f t="shared" si="530"/>
        <v>NON</v>
      </c>
      <c r="F3168" t="str">
        <f t="shared" si="530"/>
        <v>NON</v>
      </c>
      <c r="G3168" t="str">
        <f t="shared" si="530"/>
        <v>NON</v>
      </c>
      <c r="H3168" t="str">
        <f t="shared" si="530"/>
        <v>NON</v>
      </c>
      <c r="I3168" t="str">
        <f t="shared" si="530"/>
        <v>NON</v>
      </c>
      <c r="J3168" t="str">
        <f t="shared" si="530"/>
        <v>NON</v>
      </c>
      <c r="K3168" t="str">
        <f t="shared" si="530"/>
        <v>NON</v>
      </c>
      <c r="L3168" t="str">
        <f t="shared" si="530"/>
        <v>NON</v>
      </c>
      <c r="M3168" t="str">
        <f t="shared" si="530"/>
        <v>NON</v>
      </c>
      <c r="N3168" t="str">
        <f t="shared" si="530"/>
        <v>NON</v>
      </c>
      <c r="O3168" t="str">
        <f t="shared" si="530"/>
        <v>NON</v>
      </c>
      <c r="P3168" t="str">
        <f t="shared" si="530"/>
        <v>NON</v>
      </c>
      <c r="Q3168" t="str">
        <f t="shared" si="530"/>
        <v>NON</v>
      </c>
    </row>
    <row r="3169" spans="1:17">
      <c r="A3169" t="s">
        <v>127</v>
      </c>
      <c r="B3169">
        <v>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</row>
    <row r="3171" spans="1:17">
      <c r="B3171" t="s">
        <v>3196</v>
      </c>
      <c r="C3171">
        <v>3</v>
      </c>
      <c r="D3171">
        <v>16</v>
      </c>
      <c r="E3171">
        <v>1</v>
      </c>
    </row>
    <row r="3172" spans="1:17">
      <c r="B3172" t="s">
        <v>3167</v>
      </c>
      <c r="C3172" t="s">
        <v>3168</v>
      </c>
      <c r="D3172" t="s">
        <v>3169</v>
      </c>
      <c r="E3172" t="s">
        <v>3170</v>
      </c>
      <c r="F3172" t="s">
        <v>3171</v>
      </c>
      <c r="G3172" t="s">
        <v>3172</v>
      </c>
      <c r="H3172" t="s">
        <v>3173</v>
      </c>
      <c r="I3172" t="s">
        <v>3174</v>
      </c>
      <c r="J3172" t="s">
        <v>3175</v>
      </c>
      <c r="K3172" t="s">
        <v>3176</v>
      </c>
      <c r="L3172" t="s">
        <v>3177</v>
      </c>
      <c r="M3172" t="s">
        <v>3178</v>
      </c>
      <c r="N3172" t="s">
        <v>3179</v>
      </c>
      <c r="O3172" t="s">
        <v>3180</v>
      </c>
      <c r="P3172" t="s">
        <v>3181</v>
      </c>
      <c r="Q3172" t="s">
        <v>3182</v>
      </c>
    </row>
    <row r="3173" spans="1:17">
      <c r="A3173" t="s">
        <v>3183</v>
      </c>
      <c r="B3173" t="str">
        <f t="shared" ref="B3173:Q3173" si="531">"OFF"</f>
        <v>OFF</v>
      </c>
      <c r="C3173" t="str">
        <f t="shared" si="531"/>
        <v>OFF</v>
      </c>
      <c r="D3173" t="str">
        <f t="shared" si="531"/>
        <v>OFF</v>
      </c>
      <c r="E3173" t="str">
        <f t="shared" si="531"/>
        <v>OFF</v>
      </c>
      <c r="F3173" t="str">
        <f t="shared" si="531"/>
        <v>OFF</v>
      </c>
      <c r="G3173" t="str">
        <f t="shared" si="531"/>
        <v>OFF</v>
      </c>
      <c r="H3173" t="str">
        <f t="shared" si="531"/>
        <v>OFF</v>
      </c>
      <c r="I3173" t="str">
        <f t="shared" si="531"/>
        <v>OFF</v>
      </c>
      <c r="J3173" t="str">
        <f t="shared" si="531"/>
        <v>OFF</v>
      </c>
      <c r="K3173" t="str">
        <f t="shared" si="531"/>
        <v>OFF</v>
      </c>
      <c r="L3173" t="str">
        <f t="shared" si="531"/>
        <v>OFF</v>
      </c>
      <c r="M3173" t="str">
        <f t="shared" si="531"/>
        <v>OFF</v>
      </c>
      <c r="N3173" t="str">
        <f t="shared" si="531"/>
        <v>OFF</v>
      </c>
      <c r="O3173" t="str">
        <f t="shared" si="531"/>
        <v>OFF</v>
      </c>
      <c r="P3173" t="str">
        <f t="shared" si="531"/>
        <v>OFF</v>
      </c>
      <c r="Q3173" t="str">
        <f t="shared" si="531"/>
        <v>OFF</v>
      </c>
    </row>
    <row r="3174" spans="1:17">
      <c r="A3174" t="s">
        <v>53</v>
      </c>
      <c r="B3174" t="str">
        <f t="shared" ref="B3174:Q3174" si="532">"NON"</f>
        <v>NON</v>
      </c>
      <c r="C3174" t="str">
        <f t="shared" si="532"/>
        <v>NON</v>
      </c>
      <c r="D3174" t="str">
        <f t="shared" si="532"/>
        <v>NON</v>
      </c>
      <c r="E3174" t="str">
        <f t="shared" si="532"/>
        <v>NON</v>
      </c>
      <c r="F3174" t="str">
        <f t="shared" si="532"/>
        <v>NON</v>
      </c>
      <c r="G3174" t="str">
        <f t="shared" si="532"/>
        <v>NON</v>
      </c>
      <c r="H3174" t="str">
        <f t="shared" si="532"/>
        <v>NON</v>
      </c>
      <c r="I3174" t="str">
        <f t="shared" si="532"/>
        <v>NON</v>
      </c>
      <c r="J3174" t="str">
        <f t="shared" si="532"/>
        <v>NON</v>
      </c>
      <c r="K3174" t="str">
        <f t="shared" si="532"/>
        <v>NON</v>
      </c>
      <c r="L3174" t="str">
        <f t="shared" si="532"/>
        <v>NON</v>
      </c>
      <c r="M3174" t="str">
        <f t="shared" si="532"/>
        <v>NON</v>
      </c>
      <c r="N3174" t="str">
        <f t="shared" si="532"/>
        <v>NON</v>
      </c>
      <c r="O3174" t="str">
        <f t="shared" si="532"/>
        <v>NON</v>
      </c>
      <c r="P3174" t="str">
        <f t="shared" si="532"/>
        <v>NON</v>
      </c>
      <c r="Q3174" t="str">
        <f t="shared" si="532"/>
        <v>NON</v>
      </c>
    </row>
    <row r="3175" spans="1:17">
      <c r="A3175" t="s">
        <v>127</v>
      </c>
      <c r="B3175">
        <v>0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</row>
    <row r="3177" spans="1:17">
      <c r="B3177" t="s">
        <v>3197</v>
      </c>
      <c r="C3177">
        <v>3</v>
      </c>
      <c r="D3177">
        <v>16</v>
      </c>
      <c r="E3177">
        <v>1</v>
      </c>
    </row>
    <row r="3178" spans="1:17">
      <c r="B3178" t="s">
        <v>3167</v>
      </c>
      <c r="C3178" t="s">
        <v>3168</v>
      </c>
      <c r="D3178" t="s">
        <v>3169</v>
      </c>
      <c r="E3178" t="s">
        <v>3170</v>
      </c>
      <c r="F3178" t="s">
        <v>3171</v>
      </c>
      <c r="G3178" t="s">
        <v>3172</v>
      </c>
      <c r="H3178" t="s">
        <v>3173</v>
      </c>
      <c r="I3178" t="s">
        <v>3174</v>
      </c>
      <c r="J3178" t="s">
        <v>3175</v>
      </c>
      <c r="K3178" t="s">
        <v>3176</v>
      </c>
      <c r="L3178" t="s">
        <v>3177</v>
      </c>
      <c r="M3178" t="s">
        <v>3178</v>
      </c>
      <c r="N3178" t="s">
        <v>3179</v>
      </c>
      <c r="O3178" t="s">
        <v>3180</v>
      </c>
      <c r="P3178" t="s">
        <v>3181</v>
      </c>
      <c r="Q3178" t="s">
        <v>3182</v>
      </c>
    </row>
    <row r="3179" spans="1:17">
      <c r="A3179" t="s">
        <v>3183</v>
      </c>
      <c r="B3179" t="str">
        <f t="shared" ref="B3179:Q3179" si="533">"OFF"</f>
        <v>OFF</v>
      </c>
      <c r="C3179" t="str">
        <f t="shared" si="533"/>
        <v>OFF</v>
      </c>
      <c r="D3179" t="str">
        <f t="shared" si="533"/>
        <v>OFF</v>
      </c>
      <c r="E3179" t="str">
        <f t="shared" si="533"/>
        <v>OFF</v>
      </c>
      <c r="F3179" t="str">
        <f t="shared" si="533"/>
        <v>OFF</v>
      </c>
      <c r="G3179" t="str">
        <f t="shared" si="533"/>
        <v>OFF</v>
      </c>
      <c r="H3179" t="str">
        <f t="shared" si="533"/>
        <v>OFF</v>
      </c>
      <c r="I3179" t="str">
        <f t="shared" si="533"/>
        <v>OFF</v>
      </c>
      <c r="J3179" t="str">
        <f t="shared" si="533"/>
        <v>OFF</v>
      </c>
      <c r="K3179" t="str">
        <f t="shared" si="533"/>
        <v>OFF</v>
      </c>
      <c r="L3179" t="str">
        <f t="shared" si="533"/>
        <v>OFF</v>
      </c>
      <c r="M3179" t="str">
        <f t="shared" si="533"/>
        <v>OFF</v>
      </c>
      <c r="N3179" t="str">
        <f t="shared" si="533"/>
        <v>OFF</v>
      </c>
      <c r="O3179" t="str">
        <f t="shared" si="533"/>
        <v>OFF</v>
      </c>
      <c r="P3179" t="str">
        <f t="shared" si="533"/>
        <v>OFF</v>
      </c>
      <c r="Q3179" t="str">
        <f t="shared" si="533"/>
        <v>OFF</v>
      </c>
    </row>
    <row r="3180" spans="1:17">
      <c r="A3180" t="s">
        <v>53</v>
      </c>
      <c r="B3180" t="str">
        <f t="shared" ref="B3180:Q3180" si="534">"NON"</f>
        <v>NON</v>
      </c>
      <c r="C3180" t="str">
        <f t="shared" si="534"/>
        <v>NON</v>
      </c>
      <c r="D3180" t="str">
        <f t="shared" si="534"/>
        <v>NON</v>
      </c>
      <c r="E3180" t="str">
        <f t="shared" si="534"/>
        <v>NON</v>
      </c>
      <c r="F3180" t="str">
        <f t="shared" si="534"/>
        <v>NON</v>
      </c>
      <c r="G3180" t="str">
        <f t="shared" si="534"/>
        <v>NON</v>
      </c>
      <c r="H3180" t="str">
        <f t="shared" si="534"/>
        <v>NON</v>
      </c>
      <c r="I3180" t="str">
        <f t="shared" si="534"/>
        <v>NON</v>
      </c>
      <c r="J3180" t="str">
        <f t="shared" si="534"/>
        <v>NON</v>
      </c>
      <c r="K3180" t="str">
        <f t="shared" si="534"/>
        <v>NON</v>
      </c>
      <c r="L3180" t="str">
        <f t="shared" si="534"/>
        <v>NON</v>
      </c>
      <c r="M3180" t="str">
        <f t="shared" si="534"/>
        <v>NON</v>
      </c>
      <c r="N3180" t="str">
        <f t="shared" si="534"/>
        <v>NON</v>
      </c>
      <c r="O3180" t="str">
        <f t="shared" si="534"/>
        <v>NON</v>
      </c>
      <c r="P3180" t="str">
        <f t="shared" si="534"/>
        <v>NON</v>
      </c>
      <c r="Q3180" t="str">
        <f t="shared" si="534"/>
        <v>NON</v>
      </c>
    </row>
    <row r="3181" spans="1:17">
      <c r="A3181" t="s">
        <v>127</v>
      </c>
      <c r="B3181">
        <v>0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</row>
    <row r="3183" spans="1:17">
      <c r="B3183" t="s">
        <v>3198</v>
      </c>
      <c r="C3183">
        <v>3</v>
      </c>
      <c r="D3183">
        <v>16</v>
      </c>
      <c r="E3183">
        <v>1</v>
      </c>
    </row>
    <row r="3184" spans="1:17">
      <c r="B3184" t="s">
        <v>3167</v>
      </c>
      <c r="C3184" t="s">
        <v>3168</v>
      </c>
      <c r="D3184" t="s">
        <v>3169</v>
      </c>
      <c r="E3184" t="s">
        <v>3170</v>
      </c>
      <c r="F3184" t="s">
        <v>3171</v>
      </c>
      <c r="G3184" t="s">
        <v>3172</v>
      </c>
      <c r="H3184" t="s">
        <v>3173</v>
      </c>
      <c r="I3184" t="s">
        <v>3174</v>
      </c>
      <c r="J3184" t="s">
        <v>3175</v>
      </c>
      <c r="K3184" t="s">
        <v>3176</v>
      </c>
      <c r="L3184" t="s">
        <v>3177</v>
      </c>
      <c r="M3184" t="s">
        <v>3178</v>
      </c>
      <c r="N3184" t="s">
        <v>3179</v>
      </c>
      <c r="O3184" t="s">
        <v>3180</v>
      </c>
      <c r="P3184" t="s">
        <v>3181</v>
      </c>
      <c r="Q3184" t="s">
        <v>3182</v>
      </c>
    </row>
    <row r="3185" spans="1:17">
      <c r="A3185" t="s">
        <v>3183</v>
      </c>
      <c r="B3185" t="str">
        <f t="shared" ref="B3185:Q3185" si="535">"OFF"</f>
        <v>OFF</v>
      </c>
      <c r="C3185" t="str">
        <f t="shared" si="535"/>
        <v>OFF</v>
      </c>
      <c r="D3185" t="str">
        <f t="shared" si="535"/>
        <v>OFF</v>
      </c>
      <c r="E3185" t="str">
        <f t="shared" si="535"/>
        <v>OFF</v>
      </c>
      <c r="F3185" t="str">
        <f t="shared" si="535"/>
        <v>OFF</v>
      </c>
      <c r="G3185" t="str">
        <f t="shared" si="535"/>
        <v>OFF</v>
      </c>
      <c r="H3185" t="str">
        <f t="shared" si="535"/>
        <v>OFF</v>
      </c>
      <c r="I3185" t="str">
        <f t="shared" si="535"/>
        <v>OFF</v>
      </c>
      <c r="J3185" t="str">
        <f t="shared" si="535"/>
        <v>OFF</v>
      </c>
      <c r="K3185" t="str">
        <f t="shared" si="535"/>
        <v>OFF</v>
      </c>
      <c r="L3185" t="str">
        <f t="shared" si="535"/>
        <v>OFF</v>
      </c>
      <c r="M3185" t="str">
        <f t="shared" si="535"/>
        <v>OFF</v>
      </c>
      <c r="N3185" t="str">
        <f t="shared" si="535"/>
        <v>OFF</v>
      </c>
      <c r="O3185" t="str">
        <f t="shared" si="535"/>
        <v>OFF</v>
      </c>
      <c r="P3185" t="str">
        <f t="shared" si="535"/>
        <v>OFF</v>
      </c>
      <c r="Q3185" t="str">
        <f t="shared" si="535"/>
        <v>OFF</v>
      </c>
    </row>
    <row r="3186" spans="1:17">
      <c r="A3186" t="s">
        <v>53</v>
      </c>
      <c r="B3186" t="str">
        <f t="shared" ref="B3186:Q3186" si="536">"NON"</f>
        <v>NON</v>
      </c>
      <c r="C3186" t="str">
        <f t="shared" si="536"/>
        <v>NON</v>
      </c>
      <c r="D3186" t="str">
        <f t="shared" si="536"/>
        <v>NON</v>
      </c>
      <c r="E3186" t="str">
        <f t="shared" si="536"/>
        <v>NON</v>
      </c>
      <c r="F3186" t="str">
        <f t="shared" si="536"/>
        <v>NON</v>
      </c>
      <c r="G3186" t="str">
        <f t="shared" si="536"/>
        <v>NON</v>
      </c>
      <c r="H3186" t="str">
        <f t="shared" si="536"/>
        <v>NON</v>
      </c>
      <c r="I3186" t="str">
        <f t="shared" si="536"/>
        <v>NON</v>
      </c>
      <c r="J3186" t="str">
        <f t="shared" si="536"/>
        <v>NON</v>
      </c>
      <c r="K3186" t="str">
        <f t="shared" si="536"/>
        <v>NON</v>
      </c>
      <c r="L3186" t="str">
        <f t="shared" si="536"/>
        <v>NON</v>
      </c>
      <c r="M3186" t="str">
        <f t="shared" si="536"/>
        <v>NON</v>
      </c>
      <c r="N3186" t="str">
        <f t="shared" si="536"/>
        <v>NON</v>
      </c>
      <c r="O3186" t="str">
        <f t="shared" si="536"/>
        <v>NON</v>
      </c>
      <c r="P3186" t="str">
        <f t="shared" si="536"/>
        <v>NON</v>
      </c>
      <c r="Q3186" t="str">
        <f t="shared" si="536"/>
        <v>NON</v>
      </c>
    </row>
    <row r="3187" spans="1:17">
      <c r="A3187" t="s">
        <v>127</v>
      </c>
      <c r="B3187">
        <v>0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</row>
    <row r="3189" spans="1:17">
      <c r="B3189" t="s">
        <v>3199</v>
      </c>
      <c r="C3189">
        <v>3</v>
      </c>
      <c r="D3189">
        <v>16</v>
      </c>
      <c r="E3189">
        <v>1</v>
      </c>
    </row>
    <row r="3190" spans="1:17">
      <c r="B3190" t="s">
        <v>3167</v>
      </c>
      <c r="C3190" t="s">
        <v>3168</v>
      </c>
      <c r="D3190" t="s">
        <v>3169</v>
      </c>
      <c r="E3190" t="s">
        <v>3170</v>
      </c>
      <c r="F3190" t="s">
        <v>3171</v>
      </c>
      <c r="G3190" t="s">
        <v>3172</v>
      </c>
      <c r="H3190" t="s">
        <v>3173</v>
      </c>
      <c r="I3190" t="s">
        <v>3174</v>
      </c>
      <c r="J3190" t="s">
        <v>3175</v>
      </c>
      <c r="K3190" t="s">
        <v>3176</v>
      </c>
      <c r="L3190" t="s">
        <v>3177</v>
      </c>
      <c r="M3190" t="s">
        <v>3178</v>
      </c>
      <c r="N3190" t="s">
        <v>3179</v>
      </c>
      <c r="O3190" t="s">
        <v>3180</v>
      </c>
      <c r="P3190" t="s">
        <v>3181</v>
      </c>
      <c r="Q3190" t="s">
        <v>3182</v>
      </c>
    </row>
    <row r="3191" spans="1:17">
      <c r="A3191" t="s">
        <v>3183</v>
      </c>
      <c r="B3191" t="str">
        <f t="shared" ref="B3191:Q3191" si="537">"OFF"</f>
        <v>OFF</v>
      </c>
      <c r="C3191" t="str">
        <f t="shared" si="537"/>
        <v>OFF</v>
      </c>
      <c r="D3191" t="str">
        <f t="shared" si="537"/>
        <v>OFF</v>
      </c>
      <c r="E3191" t="str">
        <f t="shared" si="537"/>
        <v>OFF</v>
      </c>
      <c r="F3191" t="str">
        <f t="shared" si="537"/>
        <v>OFF</v>
      </c>
      <c r="G3191" t="str">
        <f t="shared" si="537"/>
        <v>OFF</v>
      </c>
      <c r="H3191" t="str">
        <f t="shared" si="537"/>
        <v>OFF</v>
      </c>
      <c r="I3191" t="str">
        <f t="shared" si="537"/>
        <v>OFF</v>
      </c>
      <c r="J3191" t="str">
        <f t="shared" si="537"/>
        <v>OFF</v>
      </c>
      <c r="K3191" t="str">
        <f t="shared" si="537"/>
        <v>OFF</v>
      </c>
      <c r="L3191" t="str">
        <f t="shared" si="537"/>
        <v>OFF</v>
      </c>
      <c r="M3191" t="str">
        <f t="shared" si="537"/>
        <v>OFF</v>
      </c>
      <c r="N3191" t="str">
        <f t="shared" si="537"/>
        <v>OFF</v>
      </c>
      <c r="O3191" t="str">
        <f t="shared" si="537"/>
        <v>OFF</v>
      </c>
      <c r="P3191" t="str">
        <f t="shared" si="537"/>
        <v>OFF</v>
      </c>
      <c r="Q3191" t="str">
        <f t="shared" si="537"/>
        <v>OFF</v>
      </c>
    </row>
    <row r="3192" spans="1:17">
      <c r="A3192" t="s">
        <v>53</v>
      </c>
      <c r="B3192" t="str">
        <f t="shared" ref="B3192:Q3192" si="538">"NON"</f>
        <v>NON</v>
      </c>
      <c r="C3192" t="str">
        <f t="shared" si="538"/>
        <v>NON</v>
      </c>
      <c r="D3192" t="str">
        <f t="shared" si="538"/>
        <v>NON</v>
      </c>
      <c r="E3192" t="str">
        <f t="shared" si="538"/>
        <v>NON</v>
      </c>
      <c r="F3192" t="str">
        <f t="shared" si="538"/>
        <v>NON</v>
      </c>
      <c r="G3192" t="str">
        <f t="shared" si="538"/>
        <v>NON</v>
      </c>
      <c r="H3192" t="str">
        <f t="shared" si="538"/>
        <v>NON</v>
      </c>
      <c r="I3192" t="str">
        <f t="shared" si="538"/>
        <v>NON</v>
      </c>
      <c r="J3192" t="str">
        <f t="shared" si="538"/>
        <v>NON</v>
      </c>
      <c r="K3192" t="str">
        <f t="shared" si="538"/>
        <v>NON</v>
      </c>
      <c r="L3192" t="str">
        <f t="shared" si="538"/>
        <v>NON</v>
      </c>
      <c r="M3192" t="str">
        <f t="shared" si="538"/>
        <v>NON</v>
      </c>
      <c r="N3192" t="str">
        <f t="shared" si="538"/>
        <v>NON</v>
      </c>
      <c r="O3192" t="str">
        <f t="shared" si="538"/>
        <v>NON</v>
      </c>
      <c r="P3192" t="str">
        <f t="shared" si="538"/>
        <v>NON</v>
      </c>
      <c r="Q3192" t="str">
        <f t="shared" si="538"/>
        <v>NON</v>
      </c>
    </row>
    <row r="3193" spans="1:17">
      <c r="A3193" t="s">
        <v>127</v>
      </c>
      <c r="B3193">
        <v>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</row>
    <row r="3195" spans="1:17">
      <c r="B3195" t="s">
        <v>3200</v>
      </c>
      <c r="C3195">
        <v>3</v>
      </c>
      <c r="D3195">
        <v>16</v>
      </c>
      <c r="E3195">
        <v>1</v>
      </c>
    </row>
    <row r="3196" spans="1:17">
      <c r="B3196" t="s">
        <v>3167</v>
      </c>
      <c r="C3196" t="s">
        <v>3168</v>
      </c>
      <c r="D3196" t="s">
        <v>3169</v>
      </c>
      <c r="E3196" t="s">
        <v>3170</v>
      </c>
      <c r="F3196" t="s">
        <v>3171</v>
      </c>
      <c r="G3196" t="s">
        <v>3172</v>
      </c>
      <c r="H3196" t="s">
        <v>3173</v>
      </c>
      <c r="I3196" t="s">
        <v>3174</v>
      </c>
      <c r="J3196" t="s">
        <v>3175</v>
      </c>
      <c r="K3196" t="s">
        <v>3176</v>
      </c>
      <c r="L3196" t="s">
        <v>3177</v>
      </c>
      <c r="M3196" t="s">
        <v>3178</v>
      </c>
      <c r="N3196" t="s">
        <v>3179</v>
      </c>
      <c r="O3196" t="s">
        <v>3180</v>
      </c>
      <c r="P3196" t="s">
        <v>3181</v>
      </c>
      <c r="Q3196" t="s">
        <v>3182</v>
      </c>
    </row>
    <row r="3197" spans="1:17">
      <c r="A3197" t="s">
        <v>3183</v>
      </c>
      <c r="B3197" t="str">
        <f t="shared" ref="B3197:Q3197" si="539">"OFF"</f>
        <v>OFF</v>
      </c>
      <c r="C3197" t="str">
        <f t="shared" si="539"/>
        <v>OFF</v>
      </c>
      <c r="D3197" t="str">
        <f t="shared" si="539"/>
        <v>OFF</v>
      </c>
      <c r="E3197" t="str">
        <f t="shared" si="539"/>
        <v>OFF</v>
      </c>
      <c r="F3197" t="str">
        <f t="shared" si="539"/>
        <v>OFF</v>
      </c>
      <c r="G3197" t="str">
        <f t="shared" si="539"/>
        <v>OFF</v>
      </c>
      <c r="H3197" t="str">
        <f t="shared" si="539"/>
        <v>OFF</v>
      </c>
      <c r="I3197" t="str">
        <f t="shared" si="539"/>
        <v>OFF</v>
      </c>
      <c r="J3197" t="str">
        <f t="shared" si="539"/>
        <v>OFF</v>
      </c>
      <c r="K3197" t="str">
        <f t="shared" si="539"/>
        <v>OFF</v>
      </c>
      <c r="L3197" t="str">
        <f t="shared" si="539"/>
        <v>OFF</v>
      </c>
      <c r="M3197" t="str">
        <f t="shared" si="539"/>
        <v>OFF</v>
      </c>
      <c r="N3197" t="str">
        <f t="shared" si="539"/>
        <v>OFF</v>
      </c>
      <c r="O3197" t="str">
        <f t="shared" si="539"/>
        <v>OFF</v>
      </c>
      <c r="P3197" t="str">
        <f t="shared" si="539"/>
        <v>OFF</v>
      </c>
      <c r="Q3197" t="str">
        <f t="shared" si="539"/>
        <v>OFF</v>
      </c>
    </row>
    <row r="3198" spans="1:17">
      <c r="A3198" t="s">
        <v>53</v>
      </c>
      <c r="B3198" t="str">
        <f t="shared" ref="B3198:Q3198" si="540">"NON"</f>
        <v>NON</v>
      </c>
      <c r="C3198" t="str">
        <f t="shared" si="540"/>
        <v>NON</v>
      </c>
      <c r="D3198" t="str">
        <f t="shared" si="540"/>
        <v>NON</v>
      </c>
      <c r="E3198" t="str">
        <f t="shared" si="540"/>
        <v>NON</v>
      </c>
      <c r="F3198" t="str">
        <f t="shared" si="540"/>
        <v>NON</v>
      </c>
      <c r="G3198" t="str">
        <f t="shared" si="540"/>
        <v>NON</v>
      </c>
      <c r="H3198" t="str">
        <f t="shared" si="540"/>
        <v>NON</v>
      </c>
      <c r="I3198" t="str">
        <f t="shared" si="540"/>
        <v>NON</v>
      </c>
      <c r="J3198" t="str">
        <f t="shared" si="540"/>
        <v>NON</v>
      </c>
      <c r="K3198" t="str">
        <f t="shared" si="540"/>
        <v>NON</v>
      </c>
      <c r="L3198" t="str">
        <f t="shared" si="540"/>
        <v>NON</v>
      </c>
      <c r="M3198" t="str">
        <f t="shared" si="540"/>
        <v>NON</v>
      </c>
      <c r="N3198" t="str">
        <f t="shared" si="540"/>
        <v>NON</v>
      </c>
      <c r="O3198" t="str">
        <f t="shared" si="540"/>
        <v>NON</v>
      </c>
      <c r="P3198" t="str">
        <f t="shared" si="540"/>
        <v>NON</v>
      </c>
      <c r="Q3198" t="str">
        <f t="shared" si="540"/>
        <v>NON</v>
      </c>
    </row>
    <row r="3199" spans="1:17">
      <c r="A3199" t="s">
        <v>127</v>
      </c>
      <c r="B3199">
        <v>0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</row>
    <row r="3201" spans="1:17">
      <c r="B3201" t="s">
        <v>3201</v>
      </c>
      <c r="C3201">
        <v>3</v>
      </c>
      <c r="D3201">
        <v>16</v>
      </c>
      <c r="E3201">
        <v>1</v>
      </c>
    </row>
    <row r="3202" spans="1:17">
      <c r="B3202" t="s">
        <v>3167</v>
      </c>
      <c r="C3202" t="s">
        <v>3168</v>
      </c>
      <c r="D3202" t="s">
        <v>3169</v>
      </c>
      <c r="E3202" t="s">
        <v>3170</v>
      </c>
      <c r="F3202" t="s">
        <v>3171</v>
      </c>
      <c r="G3202" t="s">
        <v>3172</v>
      </c>
      <c r="H3202" t="s">
        <v>3173</v>
      </c>
      <c r="I3202" t="s">
        <v>3174</v>
      </c>
      <c r="J3202" t="s">
        <v>3175</v>
      </c>
      <c r="K3202" t="s">
        <v>3176</v>
      </c>
      <c r="L3202" t="s">
        <v>3177</v>
      </c>
      <c r="M3202" t="s">
        <v>3178</v>
      </c>
      <c r="N3202" t="s">
        <v>3179</v>
      </c>
      <c r="O3202" t="s">
        <v>3180</v>
      </c>
      <c r="P3202" t="s">
        <v>3181</v>
      </c>
      <c r="Q3202" t="s">
        <v>3182</v>
      </c>
    </row>
    <row r="3203" spans="1:17">
      <c r="A3203" t="s">
        <v>3183</v>
      </c>
      <c r="B3203" t="str">
        <f t="shared" ref="B3203:Q3203" si="541">"OFF"</f>
        <v>OFF</v>
      </c>
      <c r="C3203" t="str">
        <f t="shared" si="541"/>
        <v>OFF</v>
      </c>
      <c r="D3203" t="str">
        <f t="shared" si="541"/>
        <v>OFF</v>
      </c>
      <c r="E3203" t="str">
        <f t="shared" si="541"/>
        <v>OFF</v>
      </c>
      <c r="F3203" t="str">
        <f t="shared" si="541"/>
        <v>OFF</v>
      </c>
      <c r="G3203" t="str">
        <f t="shared" si="541"/>
        <v>OFF</v>
      </c>
      <c r="H3203" t="str">
        <f t="shared" si="541"/>
        <v>OFF</v>
      </c>
      <c r="I3203" t="str">
        <f t="shared" si="541"/>
        <v>OFF</v>
      </c>
      <c r="J3203" t="str">
        <f t="shared" si="541"/>
        <v>OFF</v>
      </c>
      <c r="K3203" t="str">
        <f t="shared" si="541"/>
        <v>OFF</v>
      </c>
      <c r="L3203" t="str">
        <f t="shared" si="541"/>
        <v>OFF</v>
      </c>
      <c r="M3203" t="str">
        <f t="shared" si="541"/>
        <v>OFF</v>
      </c>
      <c r="N3203" t="str">
        <f t="shared" si="541"/>
        <v>OFF</v>
      </c>
      <c r="O3203" t="str">
        <f t="shared" si="541"/>
        <v>OFF</v>
      </c>
      <c r="P3203" t="str">
        <f t="shared" si="541"/>
        <v>OFF</v>
      </c>
      <c r="Q3203" t="str">
        <f t="shared" si="541"/>
        <v>OFF</v>
      </c>
    </row>
    <row r="3204" spans="1:17">
      <c r="A3204" t="s">
        <v>53</v>
      </c>
      <c r="B3204" t="str">
        <f t="shared" ref="B3204:Q3204" si="542">"NON"</f>
        <v>NON</v>
      </c>
      <c r="C3204" t="str">
        <f t="shared" si="542"/>
        <v>NON</v>
      </c>
      <c r="D3204" t="str">
        <f t="shared" si="542"/>
        <v>NON</v>
      </c>
      <c r="E3204" t="str">
        <f t="shared" si="542"/>
        <v>NON</v>
      </c>
      <c r="F3204" t="str">
        <f t="shared" si="542"/>
        <v>NON</v>
      </c>
      <c r="G3204" t="str">
        <f t="shared" si="542"/>
        <v>NON</v>
      </c>
      <c r="H3204" t="str">
        <f t="shared" si="542"/>
        <v>NON</v>
      </c>
      <c r="I3204" t="str">
        <f t="shared" si="542"/>
        <v>NON</v>
      </c>
      <c r="J3204" t="str">
        <f t="shared" si="542"/>
        <v>NON</v>
      </c>
      <c r="K3204" t="str">
        <f t="shared" si="542"/>
        <v>NON</v>
      </c>
      <c r="L3204" t="str">
        <f t="shared" si="542"/>
        <v>NON</v>
      </c>
      <c r="M3204" t="str">
        <f t="shared" si="542"/>
        <v>NON</v>
      </c>
      <c r="N3204" t="str">
        <f t="shared" si="542"/>
        <v>NON</v>
      </c>
      <c r="O3204" t="str">
        <f t="shared" si="542"/>
        <v>NON</v>
      </c>
      <c r="P3204" t="str">
        <f t="shared" si="542"/>
        <v>NON</v>
      </c>
      <c r="Q3204" t="str">
        <f t="shared" si="542"/>
        <v>NON</v>
      </c>
    </row>
    <row r="3205" spans="1:17">
      <c r="A3205" t="s">
        <v>127</v>
      </c>
      <c r="B3205">
        <v>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</row>
    <row r="3207" spans="1:17">
      <c r="B3207" t="s">
        <v>3202</v>
      </c>
      <c r="C3207">
        <v>3</v>
      </c>
      <c r="D3207">
        <v>16</v>
      </c>
      <c r="E3207">
        <v>1</v>
      </c>
    </row>
    <row r="3208" spans="1:17">
      <c r="B3208" t="s">
        <v>3167</v>
      </c>
      <c r="C3208" t="s">
        <v>3168</v>
      </c>
      <c r="D3208" t="s">
        <v>3169</v>
      </c>
      <c r="E3208" t="s">
        <v>3170</v>
      </c>
      <c r="F3208" t="s">
        <v>3171</v>
      </c>
      <c r="G3208" t="s">
        <v>3172</v>
      </c>
      <c r="H3208" t="s">
        <v>3173</v>
      </c>
      <c r="I3208" t="s">
        <v>3174</v>
      </c>
      <c r="J3208" t="s">
        <v>3175</v>
      </c>
      <c r="K3208" t="s">
        <v>3176</v>
      </c>
      <c r="L3208" t="s">
        <v>3177</v>
      </c>
      <c r="M3208" t="s">
        <v>3178</v>
      </c>
      <c r="N3208" t="s">
        <v>3179</v>
      </c>
      <c r="O3208" t="s">
        <v>3180</v>
      </c>
      <c r="P3208" t="s">
        <v>3181</v>
      </c>
      <c r="Q3208" t="s">
        <v>3182</v>
      </c>
    </row>
    <row r="3209" spans="1:17">
      <c r="A3209" t="s">
        <v>3183</v>
      </c>
      <c r="B3209" t="str">
        <f t="shared" ref="B3209:Q3209" si="543">"OFF"</f>
        <v>OFF</v>
      </c>
      <c r="C3209" t="str">
        <f t="shared" si="543"/>
        <v>OFF</v>
      </c>
      <c r="D3209" t="str">
        <f t="shared" si="543"/>
        <v>OFF</v>
      </c>
      <c r="E3209" t="str">
        <f t="shared" si="543"/>
        <v>OFF</v>
      </c>
      <c r="F3209" t="str">
        <f t="shared" si="543"/>
        <v>OFF</v>
      </c>
      <c r="G3209" t="str">
        <f t="shared" si="543"/>
        <v>OFF</v>
      </c>
      <c r="H3209" t="str">
        <f t="shared" si="543"/>
        <v>OFF</v>
      </c>
      <c r="I3209" t="str">
        <f t="shared" si="543"/>
        <v>OFF</v>
      </c>
      <c r="J3209" t="str">
        <f t="shared" si="543"/>
        <v>OFF</v>
      </c>
      <c r="K3209" t="str">
        <f t="shared" si="543"/>
        <v>OFF</v>
      </c>
      <c r="L3209" t="str">
        <f t="shared" si="543"/>
        <v>OFF</v>
      </c>
      <c r="M3209" t="str">
        <f t="shared" si="543"/>
        <v>OFF</v>
      </c>
      <c r="N3209" t="str">
        <f t="shared" si="543"/>
        <v>OFF</v>
      </c>
      <c r="O3209" t="str">
        <f t="shared" si="543"/>
        <v>OFF</v>
      </c>
      <c r="P3209" t="str">
        <f t="shared" si="543"/>
        <v>OFF</v>
      </c>
      <c r="Q3209" t="str">
        <f t="shared" si="543"/>
        <v>OFF</v>
      </c>
    </row>
    <row r="3210" spans="1:17">
      <c r="A3210" t="s">
        <v>53</v>
      </c>
      <c r="B3210" t="str">
        <f t="shared" ref="B3210:Q3210" si="544">"NON"</f>
        <v>NON</v>
      </c>
      <c r="C3210" t="str">
        <f t="shared" si="544"/>
        <v>NON</v>
      </c>
      <c r="D3210" t="str">
        <f t="shared" si="544"/>
        <v>NON</v>
      </c>
      <c r="E3210" t="str">
        <f t="shared" si="544"/>
        <v>NON</v>
      </c>
      <c r="F3210" t="str">
        <f t="shared" si="544"/>
        <v>NON</v>
      </c>
      <c r="G3210" t="str">
        <f t="shared" si="544"/>
        <v>NON</v>
      </c>
      <c r="H3210" t="str">
        <f t="shared" si="544"/>
        <v>NON</v>
      </c>
      <c r="I3210" t="str">
        <f t="shared" si="544"/>
        <v>NON</v>
      </c>
      <c r="J3210" t="str">
        <f t="shared" si="544"/>
        <v>NON</v>
      </c>
      <c r="K3210" t="str">
        <f t="shared" si="544"/>
        <v>NON</v>
      </c>
      <c r="L3210" t="str">
        <f t="shared" si="544"/>
        <v>NON</v>
      </c>
      <c r="M3210" t="str">
        <f t="shared" si="544"/>
        <v>NON</v>
      </c>
      <c r="N3210" t="str">
        <f t="shared" si="544"/>
        <v>NON</v>
      </c>
      <c r="O3210" t="str">
        <f t="shared" si="544"/>
        <v>NON</v>
      </c>
      <c r="P3210" t="str">
        <f t="shared" si="544"/>
        <v>NON</v>
      </c>
      <c r="Q3210" t="str">
        <f t="shared" si="544"/>
        <v>NON</v>
      </c>
    </row>
    <row r="3211" spans="1:17">
      <c r="A3211" t="s">
        <v>127</v>
      </c>
      <c r="B3211">
        <v>0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</row>
    <row r="3213" spans="1:17">
      <c r="B3213" t="s">
        <v>3203</v>
      </c>
      <c r="C3213">
        <v>3</v>
      </c>
      <c r="D3213">
        <v>16</v>
      </c>
      <c r="E3213">
        <v>1</v>
      </c>
    </row>
    <row r="3214" spans="1:17">
      <c r="B3214" t="s">
        <v>3167</v>
      </c>
      <c r="C3214" t="s">
        <v>3168</v>
      </c>
      <c r="D3214" t="s">
        <v>3169</v>
      </c>
      <c r="E3214" t="s">
        <v>3170</v>
      </c>
      <c r="F3214" t="s">
        <v>3171</v>
      </c>
      <c r="G3214" t="s">
        <v>3172</v>
      </c>
      <c r="H3214" t="s">
        <v>3173</v>
      </c>
      <c r="I3214" t="s">
        <v>3174</v>
      </c>
      <c r="J3214" t="s">
        <v>3175</v>
      </c>
      <c r="K3214" t="s">
        <v>3176</v>
      </c>
      <c r="L3214" t="s">
        <v>3177</v>
      </c>
      <c r="M3214" t="s">
        <v>3178</v>
      </c>
      <c r="N3214" t="s">
        <v>3179</v>
      </c>
      <c r="O3214" t="s">
        <v>3180</v>
      </c>
      <c r="P3214" t="s">
        <v>3181</v>
      </c>
      <c r="Q3214" t="s">
        <v>3182</v>
      </c>
    </row>
    <row r="3215" spans="1:17">
      <c r="A3215" t="s">
        <v>3183</v>
      </c>
      <c r="B3215" t="str">
        <f t="shared" ref="B3215:Q3215" si="545">"OFF"</f>
        <v>OFF</v>
      </c>
      <c r="C3215" t="str">
        <f t="shared" si="545"/>
        <v>OFF</v>
      </c>
      <c r="D3215" t="str">
        <f t="shared" si="545"/>
        <v>OFF</v>
      </c>
      <c r="E3215" t="str">
        <f t="shared" si="545"/>
        <v>OFF</v>
      </c>
      <c r="F3215" t="str">
        <f t="shared" si="545"/>
        <v>OFF</v>
      </c>
      <c r="G3215" t="str">
        <f t="shared" si="545"/>
        <v>OFF</v>
      </c>
      <c r="H3215" t="str">
        <f t="shared" si="545"/>
        <v>OFF</v>
      </c>
      <c r="I3215" t="str">
        <f t="shared" si="545"/>
        <v>OFF</v>
      </c>
      <c r="J3215" t="str">
        <f t="shared" si="545"/>
        <v>OFF</v>
      </c>
      <c r="K3215" t="str">
        <f t="shared" si="545"/>
        <v>OFF</v>
      </c>
      <c r="L3215" t="str">
        <f t="shared" si="545"/>
        <v>OFF</v>
      </c>
      <c r="M3215" t="str">
        <f t="shared" si="545"/>
        <v>OFF</v>
      </c>
      <c r="N3215" t="str">
        <f t="shared" si="545"/>
        <v>OFF</v>
      </c>
      <c r="O3215" t="str">
        <f t="shared" si="545"/>
        <v>OFF</v>
      </c>
      <c r="P3215" t="str">
        <f t="shared" si="545"/>
        <v>OFF</v>
      </c>
      <c r="Q3215" t="str">
        <f t="shared" si="545"/>
        <v>OFF</v>
      </c>
    </row>
    <row r="3216" spans="1:17">
      <c r="A3216" t="s">
        <v>53</v>
      </c>
      <c r="B3216" t="str">
        <f t="shared" ref="B3216:Q3216" si="546">"NON"</f>
        <v>NON</v>
      </c>
      <c r="C3216" t="str">
        <f t="shared" si="546"/>
        <v>NON</v>
      </c>
      <c r="D3216" t="str">
        <f t="shared" si="546"/>
        <v>NON</v>
      </c>
      <c r="E3216" t="str">
        <f t="shared" si="546"/>
        <v>NON</v>
      </c>
      <c r="F3216" t="str">
        <f t="shared" si="546"/>
        <v>NON</v>
      </c>
      <c r="G3216" t="str">
        <f t="shared" si="546"/>
        <v>NON</v>
      </c>
      <c r="H3216" t="str">
        <f t="shared" si="546"/>
        <v>NON</v>
      </c>
      <c r="I3216" t="str">
        <f t="shared" si="546"/>
        <v>NON</v>
      </c>
      <c r="J3216" t="str">
        <f t="shared" si="546"/>
        <v>NON</v>
      </c>
      <c r="K3216" t="str">
        <f t="shared" si="546"/>
        <v>NON</v>
      </c>
      <c r="L3216" t="str">
        <f t="shared" si="546"/>
        <v>NON</v>
      </c>
      <c r="M3216" t="str">
        <f t="shared" si="546"/>
        <v>NON</v>
      </c>
      <c r="N3216" t="str">
        <f t="shared" si="546"/>
        <v>NON</v>
      </c>
      <c r="O3216" t="str">
        <f t="shared" si="546"/>
        <v>NON</v>
      </c>
      <c r="P3216" t="str">
        <f t="shared" si="546"/>
        <v>NON</v>
      </c>
      <c r="Q3216" t="str">
        <f t="shared" si="546"/>
        <v>NON</v>
      </c>
    </row>
    <row r="3217" spans="1:17">
      <c r="A3217" t="s">
        <v>127</v>
      </c>
      <c r="B3217">
        <v>0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</row>
    <row r="3219" spans="1:17">
      <c r="B3219" t="s">
        <v>3204</v>
      </c>
      <c r="C3219">
        <v>3</v>
      </c>
      <c r="D3219">
        <v>16</v>
      </c>
      <c r="E3219">
        <v>1</v>
      </c>
    </row>
    <row r="3220" spans="1:17">
      <c r="B3220" t="s">
        <v>3167</v>
      </c>
      <c r="C3220" t="s">
        <v>3168</v>
      </c>
      <c r="D3220" t="s">
        <v>3169</v>
      </c>
      <c r="E3220" t="s">
        <v>3170</v>
      </c>
      <c r="F3220" t="s">
        <v>3171</v>
      </c>
      <c r="G3220" t="s">
        <v>3172</v>
      </c>
      <c r="H3220" t="s">
        <v>3173</v>
      </c>
      <c r="I3220" t="s">
        <v>3174</v>
      </c>
      <c r="J3220" t="s">
        <v>3175</v>
      </c>
      <c r="K3220" t="s">
        <v>3176</v>
      </c>
      <c r="L3220" t="s">
        <v>3177</v>
      </c>
      <c r="M3220" t="s">
        <v>3178</v>
      </c>
      <c r="N3220" t="s">
        <v>3179</v>
      </c>
      <c r="O3220" t="s">
        <v>3180</v>
      </c>
      <c r="P3220" t="s">
        <v>3181</v>
      </c>
      <c r="Q3220" t="s">
        <v>3182</v>
      </c>
    </row>
    <row r="3221" spans="1:17">
      <c r="A3221" t="s">
        <v>3183</v>
      </c>
      <c r="B3221" t="str">
        <f t="shared" ref="B3221:Q3221" si="547">"OFF"</f>
        <v>OFF</v>
      </c>
      <c r="C3221" t="str">
        <f t="shared" si="547"/>
        <v>OFF</v>
      </c>
      <c r="D3221" t="str">
        <f t="shared" si="547"/>
        <v>OFF</v>
      </c>
      <c r="E3221" t="str">
        <f t="shared" si="547"/>
        <v>OFF</v>
      </c>
      <c r="F3221" t="str">
        <f t="shared" si="547"/>
        <v>OFF</v>
      </c>
      <c r="G3221" t="str">
        <f t="shared" si="547"/>
        <v>OFF</v>
      </c>
      <c r="H3221" t="str">
        <f t="shared" si="547"/>
        <v>OFF</v>
      </c>
      <c r="I3221" t="str">
        <f t="shared" si="547"/>
        <v>OFF</v>
      </c>
      <c r="J3221" t="str">
        <f t="shared" si="547"/>
        <v>OFF</v>
      </c>
      <c r="K3221" t="str">
        <f t="shared" si="547"/>
        <v>OFF</v>
      </c>
      <c r="L3221" t="str">
        <f t="shared" si="547"/>
        <v>OFF</v>
      </c>
      <c r="M3221" t="str">
        <f t="shared" si="547"/>
        <v>OFF</v>
      </c>
      <c r="N3221" t="str">
        <f t="shared" si="547"/>
        <v>OFF</v>
      </c>
      <c r="O3221" t="str">
        <f t="shared" si="547"/>
        <v>OFF</v>
      </c>
      <c r="P3221" t="str">
        <f t="shared" si="547"/>
        <v>OFF</v>
      </c>
      <c r="Q3221" t="str">
        <f t="shared" si="547"/>
        <v>OFF</v>
      </c>
    </row>
    <row r="3222" spans="1:17">
      <c r="A3222" t="s">
        <v>53</v>
      </c>
      <c r="B3222" t="str">
        <f t="shared" ref="B3222:Q3222" si="548">"NON"</f>
        <v>NON</v>
      </c>
      <c r="C3222" t="str">
        <f t="shared" si="548"/>
        <v>NON</v>
      </c>
      <c r="D3222" t="str">
        <f t="shared" si="548"/>
        <v>NON</v>
      </c>
      <c r="E3222" t="str">
        <f t="shared" si="548"/>
        <v>NON</v>
      </c>
      <c r="F3222" t="str">
        <f t="shared" si="548"/>
        <v>NON</v>
      </c>
      <c r="G3222" t="str">
        <f t="shared" si="548"/>
        <v>NON</v>
      </c>
      <c r="H3222" t="str">
        <f t="shared" si="548"/>
        <v>NON</v>
      </c>
      <c r="I3222" t="str">
        <f t="shared" si="548"/>
        <v>NON</v>
      </c>
      <c r="J3222" t="str">
        <f t="shared" si="548"/>
        <v>NON</v>
      </c>
      <c r="K3222" t="str">
        <f t="shared" si="548"/>
        <v>NON</v>
      </c>
      <c r="L3222" t="str">
        <f t="shared" si="548"/>
        <v>NON</v>
      </c>
      <c r="M3222" t="str">
        <f t="shared" si="548"/>
        <v>NON</v>
      </c>
      <c r="N3222" t="str">
        <f t="shared" si="548"/>
        <v>NON</v>
      </c>
      <c r="O3222" t="str">
        <f t="shared" si="548"/>
        <v>NON</v>
      </c>
      <c r="P3222" t="str">
        <f t="shared" si="548"/>
        <v>NON</v>
      </c>
      <c r="Q3222" t="str">
        <f t="shared" si="548"/>
        <v>NON</v>
      </c>
    </row>
    <row r="3223" spans="1:17">
      <c r="A3223" t="s">
        <v>127</v>
      </c>
      <c r="B3223">
        <v>0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</row>
    <row r="3225" spans="1:17">
      <c r="B3225" t="s">
        <v>3205</v>
      </c>
      <c r="C3225">
        <v>3</v>
      </c>
      <c r="D3225">
        <v>16</v>
      </c>
      <c r="E3225">
        <v>1</v>
      </c>
    </row>
    <row r="3226" spans="1:17">
      <c r="B3226" t="s">
        <v>3167</v>
      </c>
      <c r="C3226" t="s">
        <v>3168</v>
      </c>
      <c r="D3226" t="s">
        <v>3169</v>
      </c>
      <c r="E3226" t="s">
        <v>3170</v>
      </c>
      <c r="F3226" t="s">
        <v>3171</v>
      </c>
      <c r="G3226" t="s">
        <v>3172</v>
      </c>
      <c r="H3226" t="s">
        <v>3173</v>
      </c>
      <c r="I3226" t="s">
        <v>3174</v>
      </c>
      <c r="J3226" t="s">
        <v>3175</v>
      </c>
      <c r="K3226" t="s">
        <v>3176</v>
      </c>
      <c r="L3226" t="s">
        <v>3177</v>
      </c>
      <c r="M3226" t="s">
        <v>3178</v>
      </c>
      <c r="N3226" t="s">
        <v>3179</v>
      </c>
      <c r="O3226" t="s">
        <v>3180</v>
      </c>
      <c r="P3226" t="s">
        <v>3181</v>
      </c>
      <c r="Q3226" t="s">
        <v>3182</v>
      </c>
    </row>
    <row r="3227" spans="1:17">
      <c r="A3227" t="s">
        <v>3183</v>
      </c>
      <c r="B3227" t="str">
        <f t="shared" ref="B3227:Q3227" si="549">"OFF"</f>
        <v>OFF</v>
      </c>
      <c r="C3227" t="str">
        <f t="shared" si="549"/>
        <v>OFF</v>
      </c>
      <c r="D3227" t="str">
        <f t="shared" si="549"/>
        <v>OFF</v>
      </c>
      <c r="E3227" t="str">
        <f t="shared" si="549"/>
        <v>OFF</v>
      </c>
      <c r="F3227" t="str">
        <f t="shared" si="549"/>
        <v>OFF</v>
      </c>
      <c r="G3227" t="str">
        <f t="shared" si="549"/>
        <v>OFF</v>
      </c>
      <c r="H3227" t="str">
        <f t="shared" si="549"/>
        <v>OFF</v>
      </c>
      <c r="I3227" t="str">
        <f t="shared" si="549"/>
        <v>OFF</v>
      </c>
      <c r="J3227" t="str">
        <f t="shared" si="549"/>
        <v>OFF</v>
      </c>
      <c r="K3227" t="str">
        <f t="shared" si="549"/>
        <v>OFF</v>
      </c>
      <c r="L3227" t="str">
        <f t="shared" si="549"/>
        <v>OFF</v>
      </c>
      <c r="M3227" t="str">
        <f t="shared" si="549"/>
        <v>OFF</v>
      </c>
      <c r="N3227" t="str">
        <f t="shared" si="549"/>
        <v>OFF</v>
      </c>
      <c r="O3227" t="str">
        <f t="shared" si="549"/>
        <v>OFF</v>
      </c>
      <c r="P3227" t="str">
        <f t="shared" si="549"/>
        <v>OFF</v>
      </c>
      <c r="Q3227" t="str">
        <f t="shared" si="549"/>
        <v>OFF</v>
      </c>
    </row>
    <row r="3228" spans="1:17">
      <c r="A3228" t="s">
        <v>53</v>
      </c>
      <c r="B3228" t="str">
        <f t="shared" ref="B3228:Q3228" si="550">"NON"</f>
        <v>NON</v>
      </c>
      <c r="C3228" t="str">
        <f t="shared" si="550"/>
        <v>NON</v>
      </c>
      <c r="D3228" t="str">
        <f t="shared" si="550"/>
        <v>NON</v>
      </c>
      <c r="E3228" t="str">
        <f t="shared" si="550"/>
        <v>NON</v>
      </c>
      <c r="F3228" t="str">
        <f t="shared" si="550"/>
        <v>NON</v>
      </c>
      <c r="G3228" t="str">
        <f t="shared" si="550"/>
        <v>NON</v>
      </c>
      <c r="H3228" t="str">
        <f t="shared" si="550"/>
        <v>NON</v>
      </c>
      <c r="I3228" t="str">
        <f t="shared" si="550"/>
        <v>NON</v>
      </c>
      <c r="J3228" t="str">
        <f t="shared" si="550"/>
        <v>NON</v>
      </c>
      <c r="K3228" t="str">
        <f t="shared" si="550"/>
        <v>NON</v>
      </c>
      <c r="L3228" t="str">
        <f t="shared" si="550"/>
        <v>NON</v>
      </c>
      <c r="M3228" t="str">
        <f t="shared" si="550"/>
        <v>NON</v>
      </c>
      <c r="N3228" t="str">
        <f t="shared" si="550"/>
        <v>NON</v>
      </c>
      <c r="O3228" t="str">
        <f t="shared" si="550"/>
        <v>NON</v>
      </c>
      <c r="P3228" t="str">
        <f t="shared" si="550"/>
        <v>NON</v>
      </c>
      <c r="Q3228" t="str">
        <f t="shared" si="550"/>
        <v>NON</v>
      </c>
    </row>
    <row r="3229" spans="1:17">
      <c r="A3229" t="s">
        <v>127</v>
      </c>
      <c r="B3229">
        <v>0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</row>
    <row r="3231" spans="1:17">
      <c r="B3231" t="s">
        <v>3206</v>
      </c>
      <c r="C3231">
        <v>3</v>
      </c>
      <c r="D3231">
        <v>16</v>
      </c>
      <c r="E3231">
        <v>1</v>
      </c>
    </row>
    <row r="3232" spans="1:17">
      <c r="B3232" t="s">
        <v>3167</v>
      </c>
      <c r="C3232" t="s">
        <v>3168</v>
      </c>
      <c r="D3232" t="s">
        <v>3169</v>
      </c>
      <c r="E3232" t="s">
        <v>3170</v>
      </c>
      <c r="F3232" t="s">
        <v>3171</v>
      </c>
      <c r="G3232" t="s">
        <v>3172</v>
      </c>
      <c r="H3232" t="s">
        <v>3173</v>
      </c>
      <c r="I3232" t="s">
        <v>3174</v>
      </c>
      <c r="J3232" t="s">
        <v>3175</v>
      </c>
      <c r="K3232" t="s">
        <v>3176</v>
      </c>
      <c r="L3232" t="s">
        <v>3177</v>
      </c>
      <c r="M3232" t="s">
        <v>3178</v>
      </c>
      <c r="N3232" t="s">
        <v>3179</v>
      </c>
      <c r="O3232" t="s">
        <v>3180</v>
      </c>
      <c r="P3232" t="s">
        <v>3181</v>
      </c>
      <c r="Q3232" t="s">
        <v>3182</v>
      </c>
    </row>
    <row r="3233" spans="1:17">
      <c r="A3233" t="s">
        <v>3183</v>
      </c>
      <c r="B3233" t="str">
        <f t="shared" ref="B3233:Q3233" si="551">"OFF"</f>
        <v>OFF</v>
      </c>
      <c r="C3233" t="str">
        <f t="shared" si="551"/>
        <v>OFF</v>
      </c>
      <c r="D3233" t="str">
        <f t="shared" si="551"/>
        <v>OFF</v>
      </c>
      <c r="E3233" t="str">
        <f t="shared" si="551"/>
        <v>OFF</v>
      </c>
      <c r="F3233" t="str">
        <f t="shared" si="551"/>
        <v>OFF</v>
      </c>
      <c r="G3233" t="str">
        <f t="shared" si="551"/>
        <v>OFF</v>
      </c>
      <c r="H3233" t="str">
        <f t="shared" si="551"/>
        <v>OFF</v>
      </c>
      <c r="I3233" t="str">
        <f t="shared" si="551"/>
        <v>OFF</v>
      </c>
      <c r="J3233" t="str">
        <f t="shared" si="551"/>
        <v>OFF</v>
      </c>
      <c r="K3233" t="str">
        <f t="shared" si="551"/>
        <v>OFF</v>
      </c>
      <c r="L3233" t="str">
        <f t="shared" si="551"/>
        <v>OFF</v>
      </c>
      <c r="M3233" t="str">
        <f t="shared" si="551"/>
        <v>OFF</v>
      </c>
      <c r="N3233" t="str">
        <f t="shared" si="551"/>
        <v>OFF</v>
      </c>
      <c r="O3233" t="str">
        <f t="shared" si="551"/>
        <v>OFF</v>
      </c>
      <c r="P3233" t="str">
        <f t="shared" si="551"/>
        <v>OFF</v>
      </c>
      <c r="Q3233" t="str">
        <f t="shared" si="551"/>
        <v>OFF</v>
      </c>
    </row>
    <row r="3234" spans="1:17">
      <c r="A3234" t="s">
        <v>53</v>
      </c>
      <c r="B3234" t="str">
        <f t="shared" ref="B3234:Q3234" si="552">"NON"</f>
        <v>NON</v>
      </c>
      <c r="C3234" t="str">
        <f t="shared" si="552"/>
        <v>NON</v>
      </c>
      <c r="D3234" t="str">
        <f t="shared" si="552"/>
        <v>NON</v>
      </c>
      <c r="E3234" t="str">
        <f t="shared" si="552"/>
        <v>NON</v>
      </c>
      <c r="F3234" t="str">
        <f t="shared" si="552"/>
        <v>NON</v>
      </c>
      <c r="G3234" t="str">
        <f t="shared" si="552"/>
        <v>NON</v>
      </c>
      <c r="H3234" t="str">
        <f t="shared" si="552"/>
        <v>NON</v>
      </c>
      <c r="I3234" t="str">
        <f t="shared" si="552"/>
        <v>NON</v>
      </c>
      <c r="J3234" t="str">
        <f t="shared" si="552"/>
        <v>NON</v>
      </c>
      <c r="K3234" t="str">
        <f t="shared" si="552"/>
        <v>NON</v>
      </c>
      <c r="L3234" t="str">
        <f t="shared" si="552"/>
        <v>NON</v>
      </c>
      <c r="M3234" t="str">
        <f t="shared" si="552"/>
        <v>NON</v>
      </c>
      <c r="N3234" t="str">
        <f t="shared" si="552"/>
        <v>NON</v>
      </c>
      <c r="O3234" t="str">
        <f t="shared" si="552"/>
        <v>NON</v>
      </c>
      <c r="P3234" t="str">
        <f t="shared" si="552"/>
        <v>NON</v>
      </c>
      <c r="Q3234" t="str">
        <f t="shared" si="552"/>
        <v>NON</v>
      </c>
    </row>
    <row r="3235" spans="1:17">
      <c r="A3235" t="s">
        <v>127</v>
      </c>
      <c r="B3235">
        <v>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</row>
    <row r="3237" spans="1:17">
      <c r="B3237" t="s">
        <v>3207</v>
      </c>
      <c r="C3237">
        <v>3</v>
      </c>
      <c r="D3237">
        <v>16</v>
      </c>
      <c r="E3237">
        <v>1</v>
      </c>
    </row>
    <row r="3238" spans="1:17">
      <c r="B3238" t="s">
        <v>3167</v>
      </c>
      <c r="C3238" t="s">
        <v>3168</v>
      </c>
      <c r="D3238" t="s">
        <v>3169</v>
      </c>
      <c r="E3238" t="s">
        <v>3170</v>
      </c>
      <c r="F3238" t="s">
        <v>3171</v>
      </c>
      <c r="G3238" t="s">
        <v>3172</v>
      </c>
      <c r="H3238" t="s">
        <v>3173</v>
      </c>
      <c r="I3238" t="s">
        <v>3174</v>
      </c>
      <c r="J3238" t="s">
        <v>3175</v>
      </c>
      <c r="K3238" t="s">
        <v>3176</v>
      </c>
      <c r="L3238" t="s">
        <v>3177</v>
      </c>
      <c r="M3238" t="s">
        <v>3178</v>
      </c>
      <c r="N3238" t="s">
        <v>3179</v>
      </c>
      <c r="O3238" t="s">
        <v>3180</v>
      </c>
      <c r="P3238" t="s">
        <v>3181</v>
      </c>
      <c r="Q3238" t="s">
        <v>3182</v>
      </c>
    </row>
    <row r="3239" spans="1:17">
      <c r="A3239" t="s">
        <v>3183</v>
      </c>
      <c r="B3239" t="str">
        <f t="shared" ref="B3239:Q3239" si="553">"OFF"</f>
        <v>OFF</v>
      </c>
      <c r="C3239" t="str">
        <f t="shared" si="553"/>
        <v>OFF</v>
      </c>
      <c r="D3239" t="str">
        <f t="shared" si="553"/>
        <v>OFF</v>
      </c>
      <c r="E3239" t="str">
        <f t="shared" si="553"/>
        <v>OFF</v>
      </c>
      <c r="F3239" t="str">
        <f t="shared" si="553"/>
        <v>OFF</v>
      </c>
      <c r="G3239" t="str">
        <f t="shared" si="553"/>
        <v>OFF</v>
      </c>
      <c r="H3239" t="str">
        <f t="shared" si="553"/>
        <v>OFF</v>
      </c>
      <c r="I3239" t="str">
        <f t="shared" si="553"/>
        <v>OFF</v>
      </c>
      <c r="J3239" t="str">
        <f t="shared" si="553"/>
        <v>OFF</v>
      </c>
      <c r="K3239" t="str">
        <f t="shared" si="553"/>
        <v>OFF</v>
      </c>
      <c r="L3239" t="str">
        <f t="shared" si="553"/>
        <v>OFF</v>
      </c>
      <c r="M3239" t="str">
        <f t="shared" si="553"/>
        <v>OFF</v>
      </c>
      <c r="N3239" t="str">
        <f t="shared" si="553"/>
        <v>OFF</v>
      </c>
      <c r="O3239" t="str">
        <f t="shared" si="553"/>
        <v>OFF</v>
      </c>
      <c r="P3239" t="str">
        <f t="shared" si="553"/>
        <v>OFF</v>
      </c>
      <c r="Q3239" t="str">
        <f t="shared" si="553"/>
        <v>OFF</v>
      </c>
    </row>
    <row r="3240" spans="1:17">
      <c r="A3240" t="s">
        <v>53</v>
      </c>
      <c r="B3240" t="str">
        <f t="shared" ref="B3240:Q3240" si="554">"NON"</f>
        <v>NON</v>
      </c>
      <c r="C3240" t="str">
        <f t="shared" si="554"/>
        <v>NON</v>
      </c>
      <c r="D3240" t="str">
        <f t="shared" si="554"/>
        <v>NON</v>
      </c>
      <c r="E3240" t="str">
        <f t="shared" si="554"/>
        <v>NON</v>
      </c>
      <c r="F3240" t="str">
        <f t="shared" si="554"/>
        <v>NON</v>
      </c>
      <c r="G3240" t="str">
        <f t="shared" si="554"/>
        <v>NON</v>
      </c>
      <c r="H3240" t="str">
        <f t="shared" si="554"/>
        <v>NON</v>
      </c>
      <c r="I3240" t="str">
        <f t="shared" si="554"/>
        <v>NON</v>
      </c>
      <c r="J3240" t="str">
        <f t="shared" si="554"/>
        <v>NON</v>
      </c>
      <c r="K3240" t="str">
        <f t="shared" si="554"/>
        <v>NON</v>
      </c>
      <c r="L3240" t="str">
        <f t="shared" si="554"/>
        <v>NON</v>
      </c>
      <c r="M3240" t="str">
        <f t="shared" si="554"/>
        <v>NON</v>
      </c>
      <c r="N3240" t="str">
        <f t="shared" si="554"/>
        <v>NON</v>
      </c>
      <c r="O3240" t="str">
        <f t="shared" si="554"/>
        <v>NON</v>
      </c>
      <c r="P3240" t="str">
        <f t="shared" si="554"/>
        <v>NON</v>
      </c>
      <c r="Q3240" t="str">
        <f t="shared" si="554"/>
        <v>NON</v>
      </c>
    </row>
    <row r="3241" spans="1:17">
      <c r="A3241" t="s">
        <v>127</v>
      </c>
      <c r="B3241">
        <v>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</row>
    <row r="3243" spans="1:17">
      <c r="B3243" t="s">
        <v>3208</v>
      </c>
      <c r="C3243">
        <v>3</v>
      </c>
      <c r="D3243">
        <v>16</v>
      </c>
      <c r="E3243">
        <v>1</v>
      </c>
    </row>
    <row r="3244" spans="1:17">
      <c r="B3244" t="s">
        <v>3167</v>
      </c>
      <c r="C3244" t="s">
        <v>3168</v>
      </c>
      <c r="D3244" t="s">
        <v>3169</v>
      </c>
      <c r="E3244" t="s">
        <v>3170</v>
      </c>
      <c r="F3244" t="s">
        <v>3171</v>
      </c>
      <c r="G3244" t="s">
        <v>3172</v>
      </c>
      <c r="H3244" t="s">
        <v>3173</v>
      </c>
      <c r="I3244" t="s">
        <v>3174</v>
      </c>
      <c r="J3244" t="s">
        <v>3175</v>
      </c>
      <c r="K3244" t="s">
        <v>3176</v>
      </c>
      <c r="L3244" t="s">
        <v>3177</v>
      </c>
      <c r="M3244" t="s">
        <v>3178</v>
      </c>
      <c r="N3244" t="s">
        <v>3179</v>
      </c>
      <c r="O3244" t="s">
        <v>3180</v>
      </c>
      <c r="P3244" t="s">
        <v>3181</v>
      </c>
      <c r="Q3244" t="s">
        <v>3182</v>
      </c>
    </row>
    <row r="3245" spans="1:17">
      <c r="A3245" t="s">
        <v>3183</v>
      </c>
      <c r="B3245" t="str">
        <f t="shared" ref="B3245:Q3245" si="555">"OFF"</f>
        <v>OFF</v>
      </c>
      <c r="C3245" t="str">
        <f t="shared" si="555"/>
        <v>OFF</v>
      </c>
      <c r="D3245" t="str">
        <f t="shared" si="555"/>
        <v>OFF</v>
      </c>
      <c r="E3245" t="str">
        <f t="shared" si="555"/>
        <v>OFF</v>
      </c>
      <c r="F3245" t="str">
        <f t="shared" si="555"/>
        <v>OFF</v>
      </c>
      <c r="G3245" t="str">
        <f t="shared" si="555"/>
        <v>OFF</v>
      </c>
      <c r="H3245" t="str">
        <f t="shared" si="555"/>
        <v>OFF</v>
      </c>
      <c r="I3245" t="str">
        <f t="shared" si="555"/>
        <v>OFF</v>
      </c>
      <c r="J3245" t="str">
        <f t="shared" si="555"/>
        <v>OFF</v>
      </c>
      <c r="K3245" t="str">
        <f t="shared" si="555"/>
        <v>OFF</v>
      </c>
      <c r="L3245" t="str">
        <f t="shared" si="555"/>
        <v>OFF</v>
      </c>
      <c r="M3245" t="str">
        <f t="shared" si="555"/>
        <v>OFF</v>
      </c>
      <c r="N3245" t="str">
        <f t="shared" si="555"/>
        <v>OFF</v>
      </c>
      <c r="O3245" t="str">
        <f t="shared" si="555"/>
        <v>OFF</v>
      </c>
      <c r="P3245" t="str">
        <f t="shared" si="555"/>
        <v>OFF</v>
      </c>
      <c r="Q3245" t="str">
        <f t="shared" si="555"/>
        <v>OFF</v>
      </c>
    </row>
    <row r="3246" spans="1:17">
      <c r="A3246" t="s">
        <v>53</v>
      </c>
      <c r="B3246" t="str">
        <f t="shared" ref="B3246:Q3246" si="556">"NON"</f>
        <v>NON</v>
      </c>
      <c r="C3246" t="str">
        <f t="shared" si="556"/>
        <v>NON</v>
      </c>
      <c r="D3246" t="str">
        <f t="shared" si="556"/>
        <v>NON</v>
      </c>
      <c r="E3246" t="str">
        <f t="shared" si="556"/>
        <v>NON</v>
      </c>
      <c r="F3246" t="str">
        <f t="shared" si="556"/>
        <v>NON</v>
      </c>
      <c r="G3246" t="str">
        <f t="shared" si="556"/>
        <v>NON</v>
      </c>
      <c r="H3246" t="str">
        <f t="shared" si="556"/>
        <v>NON</v>
      </c>
      <c r="I3246" t="str">
        <f t="shared" si="556"/>
        <v>NON</v>
      </c>
      <c r="J3246" t="str">
        <f t="shared" si="556"/>
        <v>NON</v>
      </c>
      <c r="K3246" t="str">
        <f t="shared" si="556"/>
        <v>NON</v>
      </c>
      <c r="L3246" t="str">
        <f t="shared" si="556"/>
        <v>NON</v>
      </c>
      <c r="M3246" t="str">
        <f t="shared" si="556"/>
        <v>NON</v>
      </c>
      <c r="N3246" t="str">
        <f t="shared" si="556"/>
        <v>NON</v>
      </c>
      <c r="O3246" t="str">
        <f t="shared" si="556"/>
        <v>NON</v>
      </c>
      <c r="P3246" t="str">
        <f t="shared" si="556"/>
        <v>NON</v>
      </c>
      <c r="Q3246" t="str">
        <f t="shared" si="556"/>
        <v>NON</v>
      </c>
    </row>
    <row r="3247" spans="1:17">
      <c r="A3247" t="s">
        <v>127</v>
      </c>
      <c r="B3247">
        <v>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</row>
    <row r="3249" spans="1:17">
      <c r="B3249" t="s">
        <v>3209</v>
      </c>
      <c r="C3249">
        <v>3</v>
      </c>
      <c r="D3249">
        <v>16</v>
      </c>
      <c r="E3249">
        <v>1</v>
      </c>
    </row>
    <row r="3250" spans="1:17">
      <c r="B3250" t="s">
        <v>3167</v>
      </c>
      <c r="C3250" t="s">
        <v>3168</v>
      </c>
      <c r="D3250" t="s">
        <v>3169</v>
      </c>
      <c r="E3250" t="s">
        <v>3170</v>
      </c>
      <c r="F3250" t="s">
        <v>3171</v>
      </c>
      <c r="G3250" t="s">
        <v>3172</v>
      </c>
      <c r="H3250" t="s">
        <v>3173</v>
      </c>
      <c r="I3250" t="s">
        <v>3174</v>
      </c>
      <c r="J3250" t="s">
        <v>3175</v>
      </c>
      <c r="K3250" t="s">
        <v>3176</v>
      </c>
      <c r="L3250" t="s">
        <v>3177</v>
      </c>
      <c r="M3250" t="s">
        <v>3178</v>
      </c>
      <c r="N3250" t="s">
        <v>3179</v>
      </c>
      <c r="O3250" t="s">
        <v>3180</v>
      </c>
      <c r="P3250" t="s">
        <v>3181</v>
      </c>
      <c r="Q3250" t="s">
        <v>3182</v>
      </c>
    </row>
    <row r="3251" spans="1:17">
      <c r="A3251" t="s">
        <v>3183</v>
      </c>
      <c r="B3251" t="str">
        <f t="shared" ref="B3251:Q3251" si="557">"OFF"</f>
        <v>OFF</v>
      </c>
      <c r="C3251" t="str">
        <f t="shared" si="557"/>
        <v>OFF</v>
      </c>
      <c r="D3251" t="str">
        <f t="shared" si="557"/>
        <v>OFF</v>
      </c>
      <c r="E3251" t="str">
        <f t="shared" si="557"/>
        <v>OFF</v>
      </c>
      <c r="F3251" t="str">
        <f t="shared" si="557"/>
        <v>OFF</v>
      </c>
      <c r="G3251" t="str">
        <f t="shared" si="557"/>
        <v>OFF</v>
      </c>
      <c r="H3251" t="str">
        <f t="shared" si="557"/>
        <v>OFF</v>
      </c>
      <c r="I3251" t="str">
        <f t="shared" si="557"/>
        <v>OFF</v>
      </c>
      <c r="J3251" t="str">
        <f t="shared" si="557"/>
        <v>OFF</v>
      </c>
      <c r="K3251" t="str">
        <f t="shared" si="557"/>
        <v>OFF</v>
      </c>
      <c r="L3251" t="str">
        <f t="shared" si="557"/>
        <v>OFF</v>
      </c>
      <c r="M3251" t="str">
        <f t="shared" si="557"/>
        <v>OFF</v>
      </c>
      <c r="N3251" t="str">
        <f t="shared" si="557"/>
        <v>OFF</v>
      </c>
      <c r="O3251" t="str">
        <f t="shared" si="557"/>
        <v>OFF</v>
      </c>
      <c r="P3251" t="str">
        <f t="shared" si="557"/>
        <v>OFF</v>
      </c>
      <c r="Q3251" t="str">
        <f t="shared" si="557"/>
        <v>OFF</v>
      </c>
    </row>
    <row r="3252" spans="1:17">
      <c r="A3252" t="s">
        <v>53</v>
      </c>
      <c r="B3252" t="str">
        <f t="shared" ref="B3252:Q3252" si="558">"NON"</f>
        <v>NON</v>
      </c>
      <c r="C3252" t="str">
        <f t="shared" si="558"/>
        <v>NON</v>
      </c>
      <c r="D3252" t="str">
        <f t="shared" si="558"/>
        <v>NON</v>
      </c>
      <c r="E3252" t="str">
        <f t="shared" si="558"/>
        <v>NON</v>
      </c>
      <c r="F3252" t="str">
        <f t="shared" si="558"/>
        <v>NON</v>
      </c>
      <c r="G3252" t="str">
        <f t="shared" si="558"/>
        <v>NON</v>
      </c>
      <c r="H3252" t="str">
        <f t="shared" si="558"/>
        <v>NON</v>
      </c>
      <c r="I3252" t="str">
        <f t="shared" si="558"/>
        <v>NON</v>
      </c>
      <c r="J3252" t="str">
        <f t="shared" si="558"/>
        <v>NON</v>
      </c>
      <c r="K3252" t="str">
        <f t="shared" si="558"/>
        <v>NON</v>
      </c>
      <c r="L3252" t="str">
        <f t="shared" si="558"/>
        <v>NON</v>
      </c>
      <c r="M3252" t="str">
        <f t="shared" si="558"/>
        <v>NON</v>
      </c>
      <c r="N3252" t="str">
        <f t="shared" si="558"/>
        <v>NON</v>
      </c>
      <c r="O3252" t="str">
        <f t="shared" si="558"/>
        <v>NON</v>
      </c>
      <c r="P3252" t="str">
        <f t="shared" si="558"/>
        <v>NON</v>
      </c>
      <c r="Q3252" t="str">
        <f t="shared" si="558"/>
        <v>NON</v>
      </c>
    </row>
    <row r="3253" spans="1:17">
      <c r="A3253" t="s">
        <v>127</v>
      </c>
      <c r="B3253">
        <v>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</row>
    <row r="3255" spans="1:17">
      <c r="B3255" t="s">
        <v>3210</v>
      </c>
      <c r="C3255">
        <v>3</v>
      </c>
      <c r="D3255">
        <v>16</v>
      </c>
      <c r="E3255">
        <v>1</v>
      </c>
    </row>
    <row r="3256" spans="1:17">
      <c r="B3256" t="s">
        <v>3167</v>
      </c>
      <c r="C3256" t="s">
        <v>3168</v>
      </c>
      <c r="D3256" t="s">
        <v>3169</v>
      </c>
      <c r="E3256" t="s">
        <v>3170</v>
      </c>
      <c r="F3256" t="s">
        <v>3171</v>
      </c>
      <c r="G3256" t="s">
        <v>3172</v>
      </c>
      <c r="H3256" t="s">
        <v>3173</v>
      </c>
      <c r="I3256" t="s">
        <v>3174</v>
      </c>
      <c r="J3256" t="s">
        <v>3175</v>
      </c>
      <c r="K3256" t="s">
        <v>3176</v>
      </c>
      <c r="L3256" t="s">
        <v>3177</v>
      </c>
      <c r="M3256" t="s">
        <v>3178</v>
      </c>
      <c r="N3256" t="s">
        <v>3179</v>
      </c>
      <c r="O3256" t="s">
        <v>3180</v>
      </c>
      <c r="P3256" t="s">
        <v>3181</v>
      </c>
      <c r="Q3256" t="s">
        <v>3182</v>
      </c>
    </row>
    <row r="3257" spans="1:17">
      <c r="A3257" t="s">
        <v>3183</v>
      </c>
      <c r="B3257" t="str">
        <f t="shared" ref="B3257:Q3257" si="559">"OFF"</f>
        <v>OFF</v>
      </c>
      <c r="C3257" t="str">
        <f t="shared" si="559"/>
        <v>OFF</v>
      </c>
      <c r="D3257" t="str">
        <f t="shared" si="559"/>
        <v>OFF</v>
      </c>
      <c r="E3257" t="str">
        <f t="shared" si="559"/>
        <v>OFF</v>
      </c>
      <c r="F3257" t="str">
        <f t="shared" si="559"/>
        <v>OFF</v>
      </c>
      <c r="G3257" t="str">
        <f t="shared" si="559"/>
        <v>OFF</v>
      </c>
      <c r="H3257" t="str">
        <f t="shared" si="559"/>
        <v>OFF</v>
      </c>
      <c r="I3257" t="str">
        <f t="shared" si="559"/>
        <v>OFF</v>
      </c>
      <c r="J3257" t="str">
        <f t="shared" si="559"/>
        <v>OFF</v>
      </c>
      <c r="K3257" t="str">
        <f t="shared" si="559"/>
        <v>OFF</v>
      </c>
      <c r="L3257" t="str">
        <f t="shared" si="559"/>
        <v>OFF</v>
      </c>
      <c r="M3257" t="str">
        <f t="shared" si="559"/>
        <v>OFF</v>
      </c>
      <c r="N3257" t="str">
        <f t="shared" si="559"/>
        <v>OFF</v>
      </c>
      <c r="O3257" t="str">
        <f t="shared" si="559"/>
        <v>OFF</v>
      </c>
      <c r="P3257" t="str">
        <f t="shared" si="559"/>
        <v>OFF</v>
      </c>
      <c r="Q3257" t="str">
        <f t="shared" si="559"/>
        <v>OFF</v>
      </c>
    </row>
    <row r="3258" spans="1:17">
      <c r="A3258" t="s">
        <v>53</v>
      </c>
      <c r="B3258" t="str">
        <f t="shared" ref="B3258:Q3258" si="560">"NON"</f>
        <v>NON</v>
      </c>
      <c r="C3258" t="str">
        <f t="shared" si="560"/>
        <v>NON</v>
      </c>
      <c r="D3258" t="str">
        <f t="shared" si="560"/>
        <v>NON</v>
      </c>
      <c r="E3258" t="str">
        <f t="shared" si="560"/>
        <v>NON</v>
      </c>
      <c r="F3258" t="str">
        <f t="shared" si="560"/>
        <v>NON</v>
      </c>
      <c r="G3258" t="str">
        <f t="shared" si="560"/>
        <v>NON</v>
      </c>
      <c r="H3258" t="str">
        <f t="shared" si="560"/>
        <v>NON</v>
      </c>
      <c r="I3258" t="str">
        <f t="shared" si="560"/>
        <v>NON</v>
      </c>
      <c r="J3258" t="str">
        <f t="shared" si="560"/>
        <v>NON</v>
      </c>
      <c r="K3258" t="str">
        <f t="shared" si="560"/>
        <v>NON</v>
      </c>
      <c r="L3258" t="str">
        <f t="shared" si="560"/>
        <v>NON</v>
      </c>
      <c r="M3258" t="str">
        <f t="shared" si="560"/>
        <v>NON</v>
      </c>
      <c r="N3258" t="str">
        <f t="shared" si="560"/>
        <v>NON</v>
      </c>
      <c r="O3258" t="str">
        <f t="shared" si="560"/>
        <v>NON</v>
      </c>
      <c r="P3258" t="str">
        <f t="shared" si="560"/>
        <v>NON</v>
      </c>
      <c r="Q3258" t="str">
        <f t="shared" si="560"/>
        <v>NON</v>
      </c>
    </row>
    <row r="3259" spans="1:17">
      <c r="A3259" t="s">
        <v>127</v>
      </c>
      <c r="B3259">
        <v>0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</row>
    <row r="3261" spans="1:17">
      <c r="B3261" t="s">
        <v>3211</v>
      </c>
      <c r="C3261">
        <v>3</v>
      </c>
      <c r="D3261">
        <v>16</v>
      </c>
      <c r="E3261">
        <v>1</v>
      </c>
    </row>
    <row r="3262" spans="1:17">
      <c r="B3262" t="s">
        <v>3167</v>
      </c>
      <c r="C3262" t="s">
        <v>3168</v>
      </c>
      <c r="D3262" t="s">
        <v>3169</v>
      </c>
      <c r="E3262" t="s">
        <v>3170</v>
      </c>
      <c r="F3262" t="s">
        <v>3171</v>
      </c>
      <c r="G3262" t="s">
        <v>3172</v>
      </c>
      <c r="H3262" t="s">
        <v>3173</v>
      </c>
      <c r="I3262" t="s">
        <v>3174</v>
      </c>
      <c r="J3262" t="s">
        <v>3175</v>
      </c>
      <c r="K3262" t="s">
        <v>3176</v>
      </c>
      <c r="L3262" t="s">
        <v>3177</v>
      </c>
      <c r="M3262" t="s">
        <v>3178</v>
      </c>
      <c r="N3262" t="s">
        <v>3179</v>
      </c>
      <c r="O3262" t="s">
        <v>3180</v>
      </c>
      <c r="P3262" t="s">
        <v>3181</v>
      </c>
      <c r="Q3262" t="s">
        <v>3182</v>
      </c>
    </row>
    <row r="3263" spans="1:17">
      <c r="A3263" t="s">
        <v>3183</v>
      </c>
      <c r="B3263" t="str">
        <f t="shared" ref="B3263:Q3263" si="561">"OFF"</f>
        <v>OFF</v>
      </c>
      <c r="C3263" t="str">
        <f t="shared" si="561"/>
        <v>OFF</v>
      </c>
      <c r="D3263" t="str">
        <f t="shared" si="561"/>
        <v>OFF</v>
      </c>
      <c r="E3263" t="str">
        <f t="shared" si="561"/>
        <v>OFF</v>
      </c>
      <c r="F3263" t="str">
        <f t="shared" si="561"/>
        <v>OFF</v>
      </c>
      <c r="G3263" t="str">
        <f t="shared" si="561"/>
        <v>OFF</v>
      </c>
      <c r="H3263" t="str">
        <f t="shared" si="561"/>
        <v>OFF</v>
      </c>
      <c r="I3263" t="str">
        <f t="shared" si="561"/>
        <v>OFF</v>
      </c>
      <c r="J3263" t="str">
        <f t="shared" si="561"/>
        <v>OFF</v>
      </c>
      <c r="K3263" t="str">
        <f t="shared" si="561"/>
        <v>OFF</v>
      </c>
      <c r="L3263" t="str">
        <f t="shared" si="561"/>
        <v>OFF</v>
      </c>
      <c r="M3263" t="str">
        <f t="shared" si="561"/>
        <v>OFF</v>
      </c>
      <c r="N3263" t="str">
        <f t="shared" si="561"/>
        <v>OFF</v>
      </c>
      <c r="O3263" t="str">
        <f t="shared" si="561"/>
        <v>OFF</v>
      </c>
      <c r="P3263" t="str">
        <f t="shared" si="561"/>
        <v>OFF</v>
      </c>
      <c r="Q3263" t="str">
        <f t="shared" si="561"/>
        <v>OFF</v>
      </c>
    </row>
    <row r="3264" spans="1:17">
      <c r="A3264" t="s">
        <v>53</v>
      </c>
      <c r="B3264" t="str">
        <f t="shared" ref="B3264:Q3264" si="562">"NON"</f>
        <v>NON</v>
      </c>
      <c r="C3264" t="str">
        <f t="shared" si="562"/>
        <v>NON</v>
      </c>
      <c r="D3264" t="str">
        <f t="shared" si="562"/>
        <v>NON</v>
      </c>
      <c r="E3264" t="str">
        <f t="shared" si="562"/>
        <v>NON</v>
      </c>
      <c r="F3264" t="str">
        <f t="shared" si="562"/>
        <v>NON</v>
      </c>
      <c r="G3264" t="str">
        <f t="shared" si="562"/>
        <v>NON</v>
      </c>
      <c r="H3264" t="str">
        <f t="shared" si="562"/>
        <v>NON</v>
      </c>
      <c r="I3264" t="str">
        <f t="shared" si="562"/>
        <v>NON</v>
      </c>
      <c r="J3264" t="str">
        <f t="shared" si="562"/>
        <v>NON</v>
      </c>
      <c r="K3264" t="str">
        <f t="shared" si="562"/>
        <v>NON</v>
      </c>
      <c r="L3264" t="str">
        <f t="shared" si="562"/>
        <v>NON</v>
      </c>
      <c r="M3264" t="str">
        <f t="shared" si="562"/>
        <v>NON</v>
      </c>
      <c r="N3264" t="str">
        <f t="shared" si="562"/>
        <v>NON</v>
      </c>
      <c r="O3264" t="str">
        <f t="shared" si="562"/>
        <v>NON</v>
      </c>
      <c r="P3264" t="str">
        <f t="shared" si="562"/>
        <v>NON</v>
      </c>
      <c r="Q3264" t="str">
        <f t="shared" si="562"/>
        <v>NON</v>
      </c>
    </row>
    <row r="3265" spans="1:17">
      <c r="A3265" t="s">
        <v>127</v>
      </c>
      <c r="B3265">
        <v>0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</row>
    <row r="3267" spans="1:17">
      <c r="B3267" t="s">
        <v>3212</v>
      </c>
      <c r="C3267">
        <v>3</v>
      </c>
      <c r="D3267">
        <v>16</v>
      </c>
      <c r="E3267">
        <v>1</v>
      </c>
    </row>
    <row r="3268" spans="1:17">
      <c r="B3268" t="s">
        <v>3167</v>
      </c>
      <c r="C3268" t="s">
        <v>3168</v>
      </c>
      <c r="D3268" t="s">
        <v>3169</v>
      </c>
      <c r="E3268" t="s">
        <v>3170</v>
      </c>
      <c r="F3268" t="s">
        <v>3171</v>
      </c>
      <c r="G3268" t="s">
        <v>3172</v>
      </c>
      <c r="H3268" t="s">
        <v>3173</v>
      </c>
      <c r="I3268" t="s">
        <v>3174</v>
      </c>
      <c r="J3268" t="s">
        <v>3175</v>
      </c>
      <c r="K3268" t="s">
        <v>3176</v>
      </c>
      <c r="L3268" t="s">
        <v>3177</v>
      </c>
      <c r="M3268" t="s">
        <v>3178</v>
      </c>
      <c r="N3268" t="s">
        <v>3179</v>
      </c>
      <c r="O3268" t="s">
        <v>3180</v>
      </c>
      <c r="P3268" t="s">
        <v>3181</v>
      </c>
      <c r="Q3268" t="s">
        <v>3182</v>
      </c>
    </row>
    <row r="3269" spans="1:17">
      <c r="A3269" t="s">
        <v>3183</v>
      </c>
      <c r="B3269" t="str">
        <f t="shared" ref="B3269:Q3269" si="563">"OFF"</f>
        <v>OFF</v>
      </c>
      <c r="C3269" t="str">
        <f t="shared" si="563"/>
        <v>OFF</v>
      </c>
      <c r="D3269" t="str">
        <f t="shared" si="563"/>
        <v>OFF</v>
      </c>
      <c r="E3269" t="str">
        <f t="shared" si="563"/>
        <v>OFF</v>
      </c>
      <c r="F3269" t="str">
        <f t="shared" si="563"/>
        <v>OFF</v>
      </c>
      <c r="G3269" t="str">
        <f t="shared" si="563"/>
        <v>OFF</v>
      </c>
      <c r="H3269" t="str">
        <f t="shared" si="563"/>
        <v>OFF</v>
      </c>
      <c r="I3269" t="str">
        <f t="shared" si="563"/>
        <v>OFF</v>
      </c>
      <c r="J3269" t="str">
        <f t="shared" si="563"/>
        <v>OFF</v>
      </c>
      <c r="K3269" t="str">
        <f t="shared" si="563"/>
        <v>OFF</v>
      </c>
      <c r="L3269" t="str">
        <f t="shared" si="563"/>
        <v>OFF</v>
      </c>
      <c r="M3269" t="str">
        <f t="shared" si="563"/>
        <v>OFF</v>
      </c>
      <c r="N3269" t="str">
        <f t="shared" si="563"/>
        <v>OFF</v>
      </c>
      <c r="O3269" t="str">
        <f t="shared" si="563"/>
        <v>OFF</v>
      </c>
      <c r="P3269" t="str">
        <f t="shared" si="563"/>
        <v>OFF</v>
      </c>
      <c r="Q3269" t="str">
        <f t="shared" si="563"/>
        <v>OFF</v>
      </c>
    </row>
    <row r="3270" spans="1:17">
      <c r="A3270" t="s">
        <v>53</v>
      </c>
      <c r="B3270" t="str">
        <f t="shared" ref="B3270:Q3270" si="564">"NON"</f>
        <v>NON</v>
      </c>
      <c r="C3270" t="str">
        <f t="shared" si="564"/>
        <v>NON</v>
      </c>
      <c r="D3270" t="str">
        <f t="shared" si="564"/>
        <v>NON</v>
      </c>
      <c r="E3270" t="str">
        <f t="shared" si="564"/>
        <v>NON</v>
      </c>
      <c r="F3270" t="str">
        <f t="shared" si="564"/>
        <v>NON</v>
      </c>
      <c r="G3270" t="str">
        <f t="shared" si="564"/>
        <v>NON</v>
      </c>
      <c r="H3270" t="str">
        <f t="shared" si="564"/>
        <v>NON</v>
      </c>
      <c r="I3270" t="str">
        <f t="shared" si="564"/>
        <v>NON</v>
      </c>
      <c r="J3270" t="str">
        <f t="shared" si="564"/>
        <v>NON</v>
      </c>
      <c r="K3270" t="str">
        <f t="shared" si="564"/>
        <v>NON</v>
      </c>
      <c r="L3270" t="str">
        <f t="shared" si="564"/>
        <v>NON</v>
      </c>
      <c r="M3270" t="str">
        <f t="shared" si="564"/>
        <v>NON</v>
      </c>
      <c r="N3270" t="str">
        <f t="shared" si="564"/>
        <v>NON</v>
      </c>
      <c r="O3270" t="str">
        <f t="shared" si="564"/>
        <v>NON</v>
      </c>
      <c r="P3270" t="str">
        <f t="shared" si="564"/>
        <v>NON</v>
      </c>
      <c r="Q3270" t="str">
        <f t="shared" si="564"/>
        <v>NON</v>
      </c>
    </row>
    <row r="3271" spans="1:17">
      <c r="A3271" t="s">
        <v>127</v>
      </c>
      <c r="B3271">
        <v>0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</row>
    <row r="3273" spans="1:17">
      <c r="B3273" t="s">
        <v>3213</v>
      </c>
      <c r="C3273">
        <v>3</v>
      </c>
      <c r="D3273">
        <v>16</v>
      </c>
      <c r="E3273">
        <v>1</v>
      </c>
    </row>
    <row r="3274" spans="1:17">
      <c r="B3274" t="s">
        <v>3167</v>
      </c>
      <c r="C3274" t="s">
        <v>3168</v>
      </c>
      <c r="D3274" t="s">
        <v>3169</v>
      </c>
      <c r="E3274" t="s">
        <v>3170</v>
      </c>
      <c r="F3274" t="s">
        <v>3171</v>
      </c>
      <c r="G3274" t="s">
        <v>3172</v>
      </c>
      <c r="H3274" t="s">
        <v>3173</v>
      </c>
      <c r="I3274" t="s">
        <v>3174</v>
      </c>
      <c r="J3274" t="s">
        <v>3175</v>
      </c>
      <c r="K3274" t="s">
        <v>3176</v>
      </c>
      <c r="L3274" t="s">
        <v>3177</v>
      </c>
      <c r="M3274" t="s">
        <v>3178</v>
      </c>
      <c r="N3274" t="s">
        <v>3179</v>
      </c>
      <c r="O3274" t="s">
        <v>3180</v>
      </c>
      <c r="P3274" t="s">
        <v>3181</v>
      </c>
      <c r="Q3274" t="s">
        <v>3182</v>
      </c>
    </row>
    <row r="3275" spans="1:17">
      <c r="A3275" t="s">
        <v>3183</v>
      </c>
      <c r="B3275" t="str">
        <f t="shared" ref="B3275:Q3275" si="565">"OFF"</f>
        <v>OFF</v>
      </c>
      <c r="C3275" t="str">
        <f t="shared" si="565"/>
        <v>OFF</v>
      </c>
      <c r="D3275" t="str">
        <f t="shared" si="565"/>
        <v>OFF</v>
      </c>
      <c r="E3275" t="str">
        <f t="shared" si="565"/>
        <v>OFF</v>
      </c>
      <c r="F3275" t="str">
        <f t="shared" si="565"/>
        <v>OFF</v>
      </c>
      <c r="G3275" t="str">
        <f t="shared" si="565"/>
        <v>OFF</v>
      </c>
      <c r="H3275" t="str">
        <f t="shared" si="565"/>
        <v>OFF</v>
      </c>
      <c r="I3275" t="str">
        <f t="shared" si="565"/>
        <v>OFF</v>
      </c>
      <c r="J3275" t="str">
        <f t="shared" si="565"/>
        <v>OFF</v>
      </c>
      <c r="K3275" t="str">
        <f t="shared" si="565"/>
        <v>OFF</v>
      </c>
      <c r="L3275" t="str">
        <f t="shared" si="565"/>
        <v>OFF</v>
      </c>
      <c r="M3275" t="str">
        <f t="shared" si="565"/>
        <v>OFF</v>
      </c>
      <c r="N3275" t="str">
        <f t="shared" si="565"/>
        <v>OFF</v>
      </c>
      <c r="O3275" t="str">
        <f t="shared" si="565"/>
        <v>OFF</v>
      </c>
      <c r="P3275" t="str">
        <f t="shared" si="565"/>
        <v>OFF</v>
      </c>
      <c r="Q3275" t="str">
        <f t="shared" si="565"/>
        <v>OFF</v>
      </c>
    </row>
    <row r="3276" spans="1:17">
      <c r="A3276" t="s">
        <v>53</v>
      </c>
      <c r="B3276" t="str">
        <f t="shared" ref="B3276:Q3276" si="566">"NON"</f>
        <v>NON</v>
      </c>
      <c r="C3276" t="str">
        <f t="shared" si="566"/>
        <v>NON</v>
      </c>
      <c r="D3276" t="str">
        <f t="shared" si="566"/>
        <v>NON</v>
      </c>
      <c r="E3276" t="str">
        <f t="shared" si="566"/>
        <v>NON</v>
      </c>
      <c r="F3276" t="str">
        <f t="shared" si="566"/>
        <v>NON</v>
      </c>
      <c r="G3276" t="str">
        <f t="shared" si="566"/>
        <v>NON</v>
      </c>
      <c r="H3276" t="str">
        <f t="shared" si="566"/>
        <v>NON</v>
      </c>
      <c r="I3276" t="str">
        <f t="shared" si="566"/>
        <v>NON</v>
      </c>
      <c r="J3276" t="str">
        <f t="shared" si="566"/>
        <v>NON</v>
      </c>
      <c r="K3276" t="str">
        <f t="shared" si="566"/>
        <v>NON</v>
      </c>
      <c r="L3276" t="str">
        <f t="shared" si="566"/>
        <v>NON</v>
      </c>
      <c r="M3276" t="str">
        <f t="shared" si="566"/>
        <v>NON</v>
      </c>
      <c r="N3276" t="str">
        <f t="shared" si="566"/>
        <v>NON</v>
      </c>
      <c r="O3276" t="str">
        <f t="shared" si="566"/>
        <v>NON</v>
      </c>
      <c r="P3276" t="str">
        <f t="shared" si="566"/>
        <v>NON</v>
      </c>
      <c r="Q3276" t="str">
        <f t="shared" si="566"/>
        <v>NON</v>
      </c>
    </row>
    <row r="3277" spans="1:17">
      <c r="A3277" t="s">
        <v>127</v>
      </c>
      <c r="B3277">
        <v>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</row>
    <row r="3279" spans="1:17">
      <c r="B3279" t="s">
        <v>3214</v>
      </c>
      <c r="C3279">
        <v>3</v>
      </c>
      <c r="D3279">
        <v>16</v>
      </c>
      <c r="E3279">
        <v>1</v>
      </c>
    </row>
    <row r="3280" spans="1:17">
      <c r="B3280" t="s">
        <v>3167</v>
      </c>
      <c r="C3280" t="s">
        <v>3168</v>
      </c>
      <c r="D3280" t="s">
        <v>3169</v>
      </c>
      <c r="E3280" t="s">
        <v>3170</v>
      </c>
      <c r="F3280" t="s">
        <v>3171</v>
      </c>
      <c r="G3280" t="s">
        <v>3172</v>
      </c>
      <c r="H3280" t="s">
        <v>3173</v>
      </c>
      <c r="I3280" t="s">
        <v>3174</v>
      </c>
      <c r="J3280" t="s">
        <v>3175</v>
      </c>
      <c r="K3280" t="s">
        <v>3176</v>
      </c>
      <c r="L3280" t="s">
        <v>3177</v>
      </c>
      <c r="M3280" t="s">
        <v>3178</v>
      </c>
      <c r="N3280" t="s">
        <v>3179</v>
      </c>
      <c r="O3280" t="s">
        <v>3180</v>
      </c>
      <c r="P3280" t="s">
        <v>3181</v>
      </c>
      <c r="Q3280" t="s">
        <v>3182</v>
      </c>
    </row>
    <row r="3281" spans="1:33">
      <c r="A3281" t="s">
        <v>3183</v>
      </c>
      <c r="B3281" t="str">
        <f t="shared" ref="B3281:Q3281" si="567">"OFF"</f>
        <v>OFF</v>
      </c>
      <c r="C3281" t="str">
        <f t="shared" si="567"/>
        <v>OFF</v>
      </c>
      <c r="D3281" t="str">
        <f t="shared" si="567"/>
        <v>OFF</v>
      </c>
      <c r="E3281" t="str">
        <f t="shared" si="567"/>
        <v>OFF</v>
      </c>
      <c r="F3281" t="str">
        <f t="shared" si="567"/>
        <v>OFF</v>
      </c>
      <c r="G3281" t="str">
        <f t="shared" si="567"/>
        <v>OFF</v>
      </c>
      <c r="H3281" t="str">
        <f t="shared" si="567"/>
        <v>OFF</v>
      </c>
      <c r="I3281" t="str">
        <f t="shared" si="567"/>
        <v>OFF</v>
      </c>
      <c r="J3281" t="str">
        <f t="shared" si="567"/>
        <v>OFF</v>
      </c>
      <c r="K3281" t="str">
        <f t="shared" si="567"/>
        <v>OFF</v>
      </c>
      <c r="L3281" t="str">
        <f t="shared" si="567"/>
        <v>OFF</v>
      </c>
      <c r="M3281" t="str">
        <f t="shared" si="567"/>
        <v>OFF</v>
      </c>
      <c r="N3281" t="str">
        <f t="shared" si="567"/>
        <v>OFF</v>
      </c>
      <c r="O3281" t="str">
        <f t="shared" si="567"/>
        <v>OFF</v>
      </c>
      <c r="P3281" t="str">
        <f t="shared" si="567"/>
        <v>OFF</v>
      </c>
      <c r="Q3281" t="str">
        <f t="shared" si="567"/>
        <v>OFF</v>
      </c>
    </row>
    <row r="3282" spans="1:33">
      <c r="A3282" t="s">
        <v>53</v>
      </c>
      <c r="B3282" t="str">
        <f t="shared" ref="B3282:Q3282" si="568">"NON"</f>
        <v>NON</v>
      </c>
      <c r="C3282" t="str">
        <f t="shared" si="568"/>
        <v>NON</v>
      </c>
      <c r="D3282" t="str">
        <f t="shared" si="568"/>
        <v>NON</v>
      </c>
      <c r="E3282" t="str">
        <f t="shared" si="568"/>
        <v>NON</v>
      </c>
      <c r="F3282" t="str">
        <f t="shared" si="568"/>
        <v>NON</v>
      </c>
      <c r="G3282" t="str">
        <f t="shared" si="568"/>
        <v>NON</v>
      </c>
      <c r="H3282" t="str">
        <f t="shared" si="568"/>
        <v>NON</v>
      </c>
      <c r="I3282" t="str">
        <f t="shared" si="568"/>
        <v>NON</v>
      </c>
      <c r="J3282" t="str">
        <f t="shared" si="568"/>
        <v>NON</v>
      </c>
      <c r="K3282" t="str">
        <f t="shared" si="568"/>
        <v>NON</v>
      </c>
      <c r="L3282" t="str">
        <f t="shared" si="568"/>
        <v>NON</v>
      </c>
      <c r="M3282" t="str">
        <f t="shared" si="568"/>
        <v>NON</v>
      </c>
      <c r="N3282" t="str">
        <f t="shared" si="568"/>
        <v>NON</v>
      </c>
      <c r="O3282" t="str">
        <f t="shared" si="568"/>
        <v>NON</v>
      </c>
      <c r="P3282" t="str">
        <f t="shared" si="568"/>
        <v>NON</v>
      </c>
      <c r="Q3282" t="str">
        <f t="shared" si="568"/>
        <v>NON</v>
      </c>
    </row>
    <row r="3283" spans="1:33">
      <c r="A3283" t="s">
        <v>127</v>
      </c>
      <c r="B3283">
        <v>0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</row>
    <row r="3285" spans="1:33">
      <c r="B3285" t="s">
        <v>3215</v>
      </c>
      <c r="C3285">
        <v>123</v>
      </c>
      <c r="D3285">
        <v>32</v>
      </c>
      <c r="E3285">
        <v>1</v>
      </c>
    </row>
    <row r="3286" spans="1:33">
      <c r="B3286" t="s">
        <v>3216</v>
      </c>
      <c r="C3286" t="s">
        <v>3217</v>
      </c>
      <c r="D3286" t="s">
        <v>3218</v>
      </c>
      <c r="E3286" t="s">
        <v>3219</v>
      </c>
      <c r="F3286" t="s">
        <v>3220</v>
      </c>
      <c r="G3286" t="s">
        <v>3221</v>
      </c>
      <c r="H3286" t="s">
        <v>3222</v>
      </c>
      <c r="I3286" t="s">
        <v>3223</v>
      </c>
      <c r="J3286" t="s">
        <v>3224</v>
      </c>
      <c r="K3286" t="s">
        <v>3225</v>
      </c>
      <c r="L3286" t="s">
        <v>3226</v>
      </c>
      <c r="M3286" t="s">
        <v>3227</v>
      </c>
      <c r="N3286" t="s">
        <v>3228</v>
      </c>
      <c r="O3286" t="s">
        <v>3229</v>
      </c>
      <c r="P3286" t="s">
        <v>3230</v>
      </c>
      <c r="Q3286" t="s">
        <v>3231</v>
      </c>
      <c r="R3286" t="s">
        <v>3232</v>
      </c>
      <c r="S3286" t="s">
        <v>3233</v>
      </c>
      <c r="T3286" t="s">
        <v>3234</v>
      </c>
      <c r="U3286" t="s">
        <v>3235</v>
      </c>
      <c r="V3286" t="s">
        <v>3236</v>
      </c>
      <c r="W3286" t="s">
        <v>3237</v>
      </c>
      <c r="X3286" t="s">
        <v>3238</v>
      </c>
      <c r="Y3286" t="s">
        <v>3239</v>
      </c>
      <c r="Z3286" t="s">
        <v>3240</v>
      </c>
      <c r="AA3286" t="s">
        <v>3241</v>
      </c>
      <c r="AB3286" t="s">
        <v>3242</v>
      </c>
      <c r="AC3286" t="s">
        <v>3243</v>
      </c>
      <c r="AD3286" t="s">
        <v>3244</v>
      </c>
      <c r="AE3286" t="s">
        <v>3245</v>
      </c>
      <c r="AF3286" t="s">
        <v>3246</v>
      </c>
      <c r="AG3286" t="s">
        <v>3247</v>
      </c>
    </row>
    <row r="3287" spans="1:33">
      <c r="A3287" t="s">
        <v>3248</v>
      </c>
      <c r="B3287">
        <v>0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</row>
    <row r="3288" spans="1:33">
      <c r="A3288" t="s">
        <v>3249</v>
      </c>
      <c r="B3288" t="str">
        <f t="shared" ref="B3288:K3290" si="569">"OFF"</f>
        <v>OFF</v>
      </c>
      <c r="C3288" t="str">
        <f t="shared" si="569"/>
        <v>OFF</v>
      </c>
      <c r="D3288" t="str">
        <f t="shared" si="569"/>
        <v>OFF</v>
      </c>
      <c r="E3288" t="str">
        <f t="shared" si="569"/>
        <v>OFF</v>
      </c>
      <c r="F3288" t="str">
        <f t="shared" si="569"/>
        <v>OFF</v>
      </c>
      <c r="G3288" t="str">
        <f t="shared" si="569"/>
        <v>OFF</v>
      </c>
      <c r="H3288" t="str">
        <f t="shared" si="569"/>
        <v>OFF</v>
      </c>
      <c r="I3288" t="str">
        <f t="shared" si="569"/>
        <v>OFF</v>
      </c>
      <c r="J3288" t="str">
        <f t="shared" si="569"/>
        <v>OFF</v>
      </c>
      <c r="K3288" t="str">
        <f t="shared" si="569"/>
        <v>OFF</v>
      </c>
      <c r="L3288" t="str">
        <f t="shared" ref="L3288:U3290" si="570">"OFF"</f>
        <v>OFF</v>
      </c>
      <c r="M3288" t="str">
        <f t="shared" si="570"/>
        <v>OFF</v>
      </c>
      <c r="N3288" t="str">
        <f t="shared" si="570"/>
        <v>OFF</v>
      </c>
      <c r="O3288" t="str">
        <f t="shared" si="570"/>
        <v>OFF</v>
      </c>
      <c r="P3288" t="str">
        <f t="shared" si="570"/>
        <v>OFF</v>
      </c>
      <c r="Q3288" t="str">
        <f t="shared" si="570"/>
        <v>OFF</v>
      </c>
      <c r="R3288" t="str">
        <f t="shared" si="570"/>
        <v>OFF</v>
      </c>
      <c r="S3288" t="str">
        <f t="shared" si="570"/>
        <v>OFF</v>
      </c>
      <c r="T3288" t="str">
        <f t="shared" si="570"/>
        <v>OFF</v>
      </c>
      <c r="U3288" t="str">
        <f t="shared" si="570"/>
        <v>OFF</v>
      </c>
      <c r="V3288" t="str">
        <f t="shared" ref="V3288:AG3290" si="571">"OFF"</f>
        <v>OFF</v>
      </c>
      <c r="W3288" t="str">
        <f t="shared" si="571"/>
        <v>OFF</v>
      </c>
      <c r="X3288" t="str">
        <f t="shared" si="571"/>
        <v>OFF</v>
      </c>
      <c r="Y3288" t="str">
        <f t="shared" si="571"/>
        <v>OFF</v>
      </c>
      <c r="Z3288" t="str">
        <f t="shared" si="571"/>
        <v>OFF</v>
      </c>
      <c r="AA3288" t="str">
        <f t="shared" si="571"/>
        <v>OFF</v>
      </c>
      <c r="AB3288" t="str">
        <f t="shared" si="571"/>
        <v>OFF</v>
      </c>
      <c r="AC3288" t="str">
        <f t="shared" si="571"/>
        <v>OFF</v>
      </c>
      <c r="AD3288" t="str">
        <f t="shared" si="571"/>
        <v>OFF</v>
      </c>
      <c r="AE3288" t="str">
        <f t="shared" si="571"/>
        <v>OFF</v>
      </c>
      <c r="AF3288" t="str">
        <f t="shared" si="571"/>
        <v>OFF</v>
      </c>
      <c r="AG3288" t="str">
        <f t="shared" si="571"/>
        <v>OFF</v>
      </c>
    </row>
    <row r="3289" spans="1:33">
      <c r="A3289" t="s">
        <v>3250</v>
      </c>
      <c r="B3289" t="str">
        <f t="shared" si="569"/>
        <v>OFF</v>
      </c>
      <c r="C3289" t="str">
        <f t="shared" si="569"/>
        <v>OFF</v>
      </c>
      <c r="D3289" t="str">
        <f t="shared" si="569"/>
        <v>OFF</v>
      </c>
      <c r="E3289" t="str">
        <f t="shared" si="569"/>
        <v>OFF</v>
      </c>
      <c r="F3289" t="str">
        <f t="shared" si="569"/>
        <v>OFF</v>
      </c>
      <c r="G3289" t="str">
        <f t="shared" si="569"/>
        <v>OFF</v>
      </c>
      <c r="H3289" t="str">
        <f t="shared" si="569"/>
        <v>OFF</v>
      </c>
      <c r="I3289" t="str">
        <f t="shared" si="569"/>
        <v>OFF</v>
      </c>
      <c r="J3289" t="str">
        <f t="shared" si="569"/>
        <v>OFF</v>
      </c>
      <c r="K3289" t="str">
        <f t="shared" si="569"/>
        <v>OFF</v>
      </c>
      <c r="L3289" t="str">
        <f t="shared" si="570"/>
        <v>OFF</v>
      </c>
      <c r="M3289" t="str">
        <f t="shared" si="570"/>
        <v>OFF</v>
      </c>
      <c r="N3289" t="str">
        <f t="shared" si="570"/>
        <v>OFF</v>
      </c>
      <c r="O3289" t="str">
        <f t="shared" si="570"/>
        <v>OFF</v>
      </c>
      <c r="P3289" t="str">
        <f t="shared" si="570"/>
        <v>OFF</v>
      </c>
      <c r="Q3289" t="str">
        <f t="shared" si="570"/>
        <v>OFF</v>
      </c>
      <c r="R3289" t="str">
        <f t="shared" si="570"/>
        <v>OFF</v>
      </c>
      <c r="S3289" t="str">
        <f t="shared" si="570"/>
        <v>OFF</v>
      </c>
      <c r="T3289" t="str">
        <f t="shared" si="570"/>
        <v>OFF</v>
      </c>
      <c r="U3289" t="str">
        <f t="shared" si="570"/>
        <v>OFF</v>
      </c>
      <c r="V3289" t="str">
        <f t="shared" si="571"/>
        <v>OFF</v>
      </c>
      <c r="W3289" t="str">
        <f t="shared" si="571"/>
        <v>OFF</v>
      </c>
      <c r="X3289" t="str">
        <f t="shared" si="571"/>
        <v>OFF</v>
      </c>
      <c r="Y3289" t="str">
        <f t="shared" si="571"/>
        <v>OFF</v>
      </c>
      <c r="Z3289" t="str">
        <f t="shared" si="571"/>
        <v>OFF</v>
      </c>
      <c r="AA3289" t="str">
        <f t="shared" si="571"/>
        <v>OFF</v>
      </c>
      <c r="AB3289" t="str">
        <f t="shared" si="571"/>
        <v>OFF</v>
      </c>
      <c r="AC3289" t="str">
        <f t="shared" si="571"/>
        <v>OFF</v>
      </c>
      <c r="AD3289" t="str">
        <f t="shared" si="571"/>
        <v>OFF</v>
      </c>
      <c r="AE3289" t="str">
        <f t="shared" si="571"/>
        <v>OFF</v>
      </c>
      <c r="AF3289" t="str">
        <f t="shared" si="571"/>
        <v>OFF</v>
      </c>
      <c r="AG3289" t="str">
        <f t="shared" si="571"/>
        <v>OFF</v>
      </c>
    </row>
    <row r="3290" spans="1:33">
      <c r="A3290" t="s">
        <v>3251</v>
      </c>
      <c r="B3290" t="str">
        <f t="shared" si="569"/>
        <v>OFF</v>
      </c>
      <c r="C3290" t="str">
        <f t="shared" si="569"/>
        <v>OFF</v>
      </c>
      <c r="D3290" t="str">
        <f t="shared" si="569"/>
        <v>OFF</v>
      </c>
      <c r="E3290" t="str">
        <f t="shared" si="569"/>
        <v>OFF</v>
      </c>
      <c r="F3290" t="str">
        <f t="shared" si="569"/>
        <v>OFF</v>
      </c>
      <c r="G3290" t="str">
        <f t="shared" si="569"/>
        <v>OFF</v>
      </c>
      <c r="H3290" t="str">
        <f t="shared" si="569"/>
        <v>OFF</v>
      </c>
      <c r="I3290" t="str">
        <f t="shared" si="569"/>
        <v>OFF</v>
      </c>
      <c r="J3290" t="str">
        <f t="shared" si="569"/>
        <v>OFF</v>
      </c>
      <c r="K3290" t="str">
        <f t="shared" si="569"/>
        <v>OFF</v>
      </c>
      <c r="L3290" t="str">
        <f t="shared" si="570"/>
        <v>OFF</v>
      </c>
      <c r="M3290" t="str">
        <f t="shared" si="570"/>
        <v>OFF</v>
      </c>
      <c r="N3290" t="str">
        <f t="shared" si="570"/>
        <v>OFF</v>
      </c>
      <c r="O3290" t="str">
        <f t="shared" si="570"/>
        <v>OFF</v>
      </c>
      <c r="P3290" t="str">
        <f t="shared" si="570"/>
        <v>OFF</v>
      </c>
      <c r="Q3290" t="str">
        <f t="shared" si="570"/>
        <v>OFF</v>
      </c>
      <c r="R3290" t="str">
        <f t="shared" si="570"/>
        <v>OFF</v>
      </c>
      <c r="S3290" t="str">
        <f t="shared" si="570"/>
        <v>OFF</v>
      </c>
      <c r="T3290" t="str">
        <f t="shared" si="570"/>
        <v>OFF</v>
      </c>
      <c r="U3290" t="str">
        <f t="shared" si="570"/>
        <v>OFF</v>
      </c>
      <c r="V3290" t="str">
        <f t="shared" si="571"/>
        <v>OFF</v>
      </c>
      <c r="W3290" t="str">
        <f t="shared" si="571"/>
        <v>OFF</v>
      </c>
      <c r="X3290" t="str">
        <f t="shared" si="571"/>
        <v>OFF</v>
      </c>
      <c r="Y3290" t="str">
        <f t="shared" si="571"/>
        <v>OFF</v>
      </c>
      <c r="Z3290" t="str">
        <f t="shared" si="571"/>
        <v>OFF</v>
      </c>
      <c r="AA3290" t="str">
        <f t="shared" si="571"/>
        <v>OFF</v>
      </c>
      <c r="AB3290" t="str">
        <f t="shared" si="571"/>
        <v>OFF</v>
      </c>
      <c r="AC3290" t="str">
        <f t="shared" si="571"/>
        <v>OFF</v>
      </c>
      <c r="AD3290" t="str">
        <f t="shared" si="571"/>
        <v>OFF</v>
      </c>
      <c r="AE3290" t="str">
        <f t="shared" si="571"/>
        <v>OFF</v>
      </c>
      <c r="AF3290" t="str">
        <f t="shared" si="571"/>
        <v>OFF</v>
      </c>
      <c r="AG3290" t="str">
        <f t="shared" si="571"/>
        <v>OFF</v>
      </c>
    </row>
    <row r="3291" spans="1:33">
      <c r="A3291" t="s">
        <v>3252</v>
      </c>
      <c r="B3291">
        <v>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</row>
    <row r="3292" spans="1:33">
      <c r="A3292" t="s">
        <v>3253</v>
      </c>
      <c r="B3292">
        <v>0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</row>
    <row r="3293" spans="1:33">
      <c r="A3293" t="s">
        <v>3254</v>
      </c>
      <c r="B3293">
        <v>0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</row>
    <row r="3294" spans="1:33">
      <c r="A3294" t="s">
        <v>3255</v>
      </c>
      <c r="B3294">
        <v>0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</row>
    <row r="3295" spans="1:33">
      <c r="A3295" t="s">
        <v>3256</v>
      </c>
      <c r="B3295">
        <v>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</row>
    <row r="3296" spans="1:33">
      <c r="A3296" t="s">
        <v>3257</v>
      </c>
      <c r="B3296">
        <v>0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</row>
    <row r="3297" spans="1:33">
      <c r="A3297" t="s">
        <v>3258</v>
      </c>
      <c r="B3297">
        <v>0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</row>
    <row r="3298" spans="1:33">
      <c r="A3298" t="s">
        <v>3259</v>
      </c>
      <c r="B3298">
        <v>0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</row>
    <row r="3299" spans="1:33">
      <c r="A3299" t="s">
        <v>3260</v>
      </c>
      <c r="B3299">
        <v>0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</row>
    <row r="3300" spans="1:33">
      <c r="A3300" t="s">
        <v>3261</v>
      </c>
      <c r="B3300">
        <v>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</row>
    <row r="3301" spans="1:33">
      <c r="A3301" t="s">
        <v>3262</v>
      </c>
      <c r="B3301">
        <v>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</row>
    <row r="3302" spans="1:33">
      <c r="A3302" t="s">
        <v>3263</v>
      </c>
      <c r="B3302">
        <v>0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</row>
    <row r="3303" spans="1:33">
      <c r="A3303" t="s">
        <v>3264</v>
      </c>
      <c r="B3303">
        <v>0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</row>
    <row r="3304" spans="1:33">
      <c r="A3304" t="s">
        <v>3265</v>
      </c>
      <c r="B3304">
        <v>0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</row>
    <row r="3305" spans="1:33">
      <c r="A3305" t="s">
        <v>3266</v>
      </c>
      <c r="B3305">
        <v>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</row>
    <row r="3306" spans="1:33">
      <c r="A3306" t="s">
        <v>3267</v>
      </c>
      <c r="B3306">
        <v>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</row>
    <row r="3307" spans="1:33">
      <c r="A3307" t="s">
        <v>3268</v>
      </c>
      <c r="B3307">
        <v>0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</row>
    <row r="3308" spans="1:33">
      <c r="A3308" t="s">
        <v>3269</v>
      </c>
      <c r="B3308">
        <v>0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</row>
    <row r="3309" spans="1:33">
      <c r="A3309" t="s">
        <v>3270</v>
      </c>
      <c r="B3309" t="str">
        <f t="shared" ref="B3309:K3318" si="572">"Off"</f>
        <v>Off</v>
      </c>
      <c r="C3309" t="str">
        <f t="shared" si="572"/>
        <v>Off</v>
      </c>
      <c r="D3309" t="str">
        <f t="shared" si="572"/>
        <v>Off</v>
      </c>
      <c r="E3309" t="str">
        <f t="shared" si="572"/>
        <v>Off</v>
      </c>
      <c r="F3309" t="str">
        <f t="shared" si="572"/>
        <v>Off</v>
      </c>
      <c r="G3309" t="str">
        <f t="shared" si="572"/>
        <v>Off</v>
      </c>
      <c r="H3309" t="str">
        <f t="shared" si="572"/>
        <v>Off</v>
      </c>
      <c r="I3309" t="str">
        <f t="shared" si="572"/>
        <v>Off</v>
      </c>
      <c r="J3309" t="str">
        <f t="shared" si="572"/>
        <v>Off</v>
      </c>
      <c r="K3309" t="str">
        <f t="shared" si="572"/>
        <v>Off</v>
      </c>
      <c r="L3309" t="str">
        <f t="shared" ref="L3309:U3318" si="573">"Off"</f>
        <v>Off</v>
      </c>
      <c r="M3309" t="str">
        <f t="shared" si="573"/>
        <v>Off</v>
      </c>
      <c r="N3309" t="str">
        <f t="shared" si="573"/>
        <v>Off</v>
      </c>
      <c r="O3309" t="str">
        <f t="shared" si="573"/>
        <v>Off</v>
      </c>
      <c r="P3309" t="str">
        <f t="shared" si="573"/>
        <v>Off</v>
      </c>
      <c r="Q3309" t="str">
        <f t="shared" si="573"/>
        <v>Off</v>
      </c>
      <c r="R3309" t="str">
        <f t="shared" si="573"/>
        <v>Off</v>
      </c>
      <c r="S3309" t="str">
        <f t="shared" si="573"/>
        <v>Off</v>
      </c>
      <c r="T3309" t="str">
        <f t="shared" si="573"/>
        <v>Off</v>
      </c>
      <c r="U3309" t="str">
        <f t="shared" si="573"/>
        <v>Off</v>
      </c>
      <c r="V3309" t="str">
        <f t="shared" ref="V3309:AG3318" si="574">"Off"</f>
        <v>Off</v>
      </c>
      <c r="W3309" t="str">
        <f t="shared" si="574"/>
        <v>Off</v>
      </c>
      <c r="X3309" t="str">
        <f t="shared" si="574"/>
        <v>Off</v>
      </c>
      <c r="Y3309" t="str">
        <f t="shared" si="574"/>
        <v>Off</v>
      </c>
      <c r="Z3309" t="str">
        <f t="shared" si="574"/>
        <v>Off</v>
      </c>
      <c r="AA3309" t="str">
        <f t="shared" si="574"/>
        <v>Off</v>
      </c>
      <c r="AB3309" t="str">
        <f t="shared" si="574"/>
        <v>Off</v>
      </c>
      <c r="AC3309" t="str">
        <f t="shared" si="574"/>
        <v>Off</v>
      </c>
      <c r="AD3309" t="str">
        <f t="shared" si="574"/>
        <v>Off</v>
      </c>
      <c r="AE3309" t="str">
        <f t="shared" si="574"/>
        <v>Off</v>
      </c>
      <c r="AF3309" t="str">
        <f t="shared" si="574"/>
        <v>Off</v>
      </c>
      <c r="AG3309" t="str">
        <f t="shared" si="574"/>
        <v>Off</v>
      </c>
    </row>
    <row r="3310" spans="1:33">
      <c r="A3310" t="s">
        <v>3271</v>
      </c>
      <c r="B3310" t="str">
        <f t="shared" si="572"/>
        <v>Off</v>
      </c>
      <c r="C3310" t="str">
        <f t="shared" si="572"/>
        <v>Off</v>
      </c>
      <c r="D3310" t="str">
        <f t="shared" si="572"/>
        <v>Off</v>
      </c>
      <c r="E3310" t="str">
        <f t="shared" si="572"/>
        <v>Off</v>
      </c>
      <c r="F3310" t="str">
        <f t="shared" si="572"/>
        <v>Off</v>
      </c>
      <c r="G3310" t="str">
        <f t="shared" si="572"/>
        <v>Off</v>
      </c>
      <c r="H3310" t="str">
        <f t="shared" si="572"/>
        <v>Off</v>
      </c>
      <c r="I3310" t="str">
        <f t="shared" si="572"/>
        <v>Off</v>
      </c>
      <c r="J3310" t="str">
        <f t="shared" si="572"/>
        <v>Off</v>
      </c>
      <c r="K3310" t="str">
        <f t="shared" si="572"/>
        <v>Off</v>
      </c>
      <c r="L3310" t="str">
        <f t="shared" si="573"/>
        <v>Off</v>
      </c>
      <c r="M3310" t="str">
        <f t="shared" si="573"/>
        <v>Off</v>
      </c>
      <c r="N3310" t="str">
        <f t="shared" si="573"/>
        <v>Off</v>
      </c>
      <c r="O3310" t="str">
        <f t="shared" si="573"/>
        <v>Off</v>
      </c>
      <c r="P3310" t="str">
        <f t="shared" si="573"/>
        <v>Off</v>
      </c>
      <c r="Q3310" t="str">
        <f t="shared" si="573"/>
        <v>Off</v>
      </c>
      <c r="R3310" t="str">
        <f t="shared" si="573"/>
        <v>Off</v>
      </c>
      <c r="S3310" t="str">
        <f t="shared" si="573"/>
        <v>Off</v>
      </c>
      <c r="T3310" t="str">
        <f t="shared" si="573"/>
        <v>Off</v>
      </c>
      <c r="U3310" t="str">
        <f t="shared" si="573"/>
        <v>Off</v>
      </c>
      <c r="V3310" t="str">
        <f t="shared" si="574"/>
        <v>Off</v>
      </c>
      <c r="W3310" t="str">
        <f t="shared" si="574"/>
        <v>Off</v>
      </c>
      <c r="X3310" t="str">
        <f t="shared" si="574"/>
        <v>Off</v>
      </c>
      <c r="Y3310" t="str">
        <f t="shared" si="574"/>
        <v>Off</v>
      </c>
      <c r="Z3310" t="str">
        <f t="shared" si="574"/>
        <v>Off</v>
      </c>
      <c r="AA3310" t="str">
        <f t="shared" si="574"/>
        <v>Off</v>
      </c>
      <c r="AB3310" t="str">
        <f t="shared" si="574"/>
        <v>Off</v>
      </c>
      <c r="AC3310" t="str">
        <f t="shared" si="574"/>
        <v>Off</v>
      </c>
      <c r="AD3310" t="str">
        <f t="shared" si="574"/>
        <v>Off</v>
      </c>
      <c r="AE3310" t="str">
        <f t="shared" si="574"/>
        <v>Off</v>
      </c>
      <c r="AF3310" t="str">
        <f t="shared" si="574"/>
        <v>Off</v>
      </c>
      <c r="AG3310" t="str">
        <f t="shared" si="574"/>
        <v>Off</v>
      </c>
    </row>
    <row r="3311" spans="1:33">
      <c r="A3311" t="s">
        <v>3272</v>
      </c>
      <c r="B3311" t="str">
        <f t="shared" si="572"/>
        <v>Off</v>
      </c>
      <c r="C3311" t="str">
        <f t="shared" si="572"/>
        <v>Off</v>
      </c>
      <c r="D3311" t="str">
        <f t="shared" si="572"/>
        <v>Off</v>
      </c>
      <c r="E3311" t="str">
        <f t="shared" si="572"/>
        <v>Off</v>
      </c>
      <c r="F3311" t="str">
        <f t="shared" si="572"/>
        <v>Off</v>
      </c>
      <c r="G3311" t="str">
        <f t="shared" si="572"/>
        <v>Off</v>
      </c>
      <c r="H3311" t="str">
        <f t="shared" si="572"/>
        <v>Off</v>
      </c>
      <c r="I3311" t="str">
        <f t="shared" si="572"/>
        <v>Off</v>
      </c>
      <c r="J3311" t="str">
        <f t="shared" si="572"/>
        <v>Off</v>
      </c>
      <c r="K3311" t="str">
        <f t="shared" si="572"/>
        <v>Off</v>
      </c>
      <c r="L3311" t="str">
        <f t="shared" si="573"/>
        <v>Off</v>
      </c>
      <c r="M3311" t="str">
        <f t="shared" si="573"/>
        <v>Off</v>
      </c>
      <c r="N3311" t="str">
        <f t="shared" si="573"/>
        <v>Off</v>
      </c>
      <c r="O3311" t="str">
        <f t="shared" si="573"/>
        <v>Off</v>
      </c>
      <c r="P3311" t="str">
        <f t="shared" si="573"/>
        <v>Off</v>
      </c>
      <c r="Q3311" t="str">
        <f t="shared" si="573"/>
        <v>Off</v>
      </c>
      <c r="R3311" t="str">
        <f t="shared" si="573"/>
        <v>Off</v>
      </c>
      <c r="S3311" t="str">
        <f t="shared" si="573"/>
        <v>Off</v>
      </c>
      <c r="T3311" t="str">
        <f t="shared" si="573"/>
        <v>Off</v>
      </c>
      <c r="U3311" t="str">
        <f t="shared" si="573"/>
        <v>Off</v>
      </c>
      <c r="V3311" t="str">
        <f t="shared" si="574"/>
        <v>Off</v>
      </c>
      <c r="W3311" t="str">
        <f t="shared" si="574"/>
        <v>Off</v>
      </c>
      <c r="X3311" t="str">
        <f t="shared" si="574"/>
        <v>Off</v>
      </c>
      <c r="Y3311" t="str">
        <f t="shared" si="574"/>
        <v>Off</v>
      </c>
      <c r="Z3311" t="str">
        <f t="shared" si="574"/>
        <v>Off</v>
      </c>
      <c r="AA3311" t="str">
        <f t="shared" si="574"/>
        <v>Off</v>
      </c>
      <c r="AB3311" t="str">
        <f t="shared" si="574"/>
        <v>Off</v>
      </c>
      <c r="AC3311" t="str">
        <f t="shared" si="574"/>
        <v>Off</v>
      </c>
      <c r="AD3311" t="str">
        <f t="shared" si="574"/>
        <v>Off</v>
      </c>
      <c r="AE3311" t="str">
        <f t="shared" si="574"/>
        <v>Off</v>
      </c>
      <c r="AF3311" t="str">
        <f t="shared" si="574"/>
        <v>Off</v>
      </c>
      <c r="AG3311" t="str">
        <f t="shared" si="574"/>
        <v>Off</v>
      </c>
    </row>
    <row r="3312" spans="1:33">
      <c r="A3312" t="s">
        <v>3273</v>
      </c>
      <c r="B3312" t="str">
        <f t="shared" si="572"/>
        <v>Off</v>
      </c>
      <c r="C3312" t="str">
        <f t="shared" si="572"/>
        <v>Off</v>
      </c>
      <c r="D3312" t="str">
        <f t="shared" si="572"/>
        <v>Off</v>
      </c>
      <c r="E3312" t="str">
        <f t="shared" si="572"/>
        <v>Off</v>
      </c>
      <c r="F3312" t="str">
        <f t="shared" si="572"/>
        <v>Off</v>
      </c>
      <c r="G3312" t="str">
        <f t="shared" si="572"/>
        <v>Off</v>
      </c>
      <c r="H3312" t="str">
        <f t="shared" si="572"/>
        <v>Off</v>
      </c>
      <c r="I3312" t="str">
        <f t="shared" si="572"/>
        <v>Off</v>
      </c>
      <c r="J3312" t="str">
        <f t="shared" si="572"/>
        <v>Off</v>
      </c>
      <c r="K3312" t="str">
        <f t="shared" si="572"/>
        <v>Off</v>
      </c>
      <c r="L3312" t="str">
        <f t="shared" si="573"/>
        <v>Off</v>
      </c>
      <c r="M3312" t="str">
        <f t="shared" si="573"/>
        <v>Off</v>
      </c>
      <c r="N3312" t="str">
        <f t="shared" si="573"/>
        <v>Off</v>
      </c>
      <c r="O3312" t="str">
        <f t="shared" si="573"/>
        <v>Off</v>
      </c>
      <c r="P3312" t="str">
        <f t="shared" si="573"/>
        <v>Off</v>
      </c>
      <c r="Q3312" t="str">
        <f t="shared" si="573"/>
        <v>Off</v>
      </c>
      <c r="R3312" t="str">
        <f t="shared" si="573"/>
        <v>Off</v>
      </c>
      <c r="S3312" t="str">
        <f t="shared" si="573"/>
        <v>Off</v>
      </c>
      <c r="T3312" t="str">
        <f t="shared" si="573"/>
        <v>Off</v>
      </c>
      <c r="U3312" t="str">
        <f t="shared" si="573"/>
        <v>Off</v>
      </c>
      <c r="V3312" t="str">
        <f t="shared" si="574"/>
        <v>Off</v>
      </c>
      <c r="W3312" t="str">
        <f t="shared" si="574"/>
        <v>Off</v>
      </c>
      <c r="X3312" t="str">
        <f t="shared" si="574"/>
        <v>Off</v>
      </c>
      <c r="Y3312" t="str">
        <f t="shared" si="574"/>
        <v>Off</v>
      </c>
      <c r="Z3312" t="str">
        <f t="shared" si="574"/>
        <v>Off</v>
      </c>
      <c r="AA3312" t="str">
        <f t="shared" si="574"/>
        <v>Off</v>
      </c>
      <c r="AB3312" t="str">
        <f t="shared" si="574"/>
        <v>Off</v>
      </c>
      <c r="AC3312" t="str">
        <f t="shared" si="574"/>
        <v>Off</v>
      </c>
      <c r="AD3312" t="str">
        <f t="shared" si="574"/>
        <v>Off</v>
      </c>
      <c r="AE3312" t="str">
        <f t="shared" si="574"/>
        <v>Off</v>
      </c>
      <c r="AF3312" t="str">
        <f t="shared" si="574"/>
        <v>Off</v>
      </c>
      <c r="AG3312" t="str">
        <f t="shared" si="574"/>
        <v>Off</v>
      </c>
    </row>
    <row r="3313" spans="1:33">
      <c r="A3313" t="s">
        <v>3274</v>
      </c>
      <c r="B3313" t="str">
        <f t="shared" si="572"/>
        <v>Off</v>
      </c>
      <c r="C3313" t="str">
        <f t="shared" si="572"/>
        <v>Off</v>
      </c>
      <c r="D3313" t="str">
        <f t="shared" si="572"/>
        <v>Off</v>
      </c>
      <c r="E3313" t="str">
        <f t="shared" si="572"/>
        <v>Off</v>
      </c>
      <c r="F3313" t="str">
        <f t="shared" si="572"/>
        <v>Off</v>
      </c>
      <c r="G3313" t="str">
        <f t="shared" si="572"/>
        <v>Off</v>
      </c>
      <c r="H3313" t="str">
        <f t="shared" si="572"/>
        <v>Off</v>
      </c>
      <c r="I3313" t="str">
        <f t="shared" si="572"/>
        <v>Off</v>
      </c>
      <c r="J3313" t="str">
        <f t="shared" si="572"/>
        <v>Off</v>
      </c>
      <c r="K3313" t="str">
        <f t="shared" si="572"/>
        <v>Off</v>
      </c>
      <c r="L3313" t="str">
        <f t="shared" si="573"/>
        <v>Off</v>
      </c>
      <c r="M3313" t="str">
        <f t="shared" si="573"/>
        <v>Off</v>
      </c>
      <c r="N3313" t="str">
        <f t="shared" si="573"/>
        <v>Off</v>
      </c>
      <c r="O3313" t="str">
        <f t="shared" si="573"/>
        <v>Off</v>
      </c>
      <c r="P3313" t="str">
        <f t="shared" si="573"/>
        <v>Off</v>
      </c>
      <c r="Q3313" t="str">
        <f t="shared" si="573"/>
        <v>Off</v>
      </c>
      <c r="R3313" t="str">
        <f t="shared" si="573"/>
        <v>Off</v>
      </c>
      <c r="S3313" t="str">
        <f t="shared" si="573"/>
        <v>Off</v>
      </c>
      <c r="T3313" t="str">
        <f t="shared" si="573"/>
        <v>Off</v>
      </c>
      <c r="U3313" t="str">
        <f t="shared" si="573"/>
        <v>Off</v>
      </c>
      <c r="V3313" t="str">
        <f t="shared" si="574"/>
        <v>Off</v>
      </c>
      <c r="W3313" t="str">
        <f t="shared" si="574"/>
        <v>Off</v>
      </c>
      <c r="X3313" t="str">
        <f t="shared" si="574"/>
        <v>Off</v>
      </c>
      <c r="Y3313" t="str">
        <f t="shared" si="574"/>
        <v>Off</v>
      </c>
      <c r="Z3313" t="str">
        <f t="shared" si="574"/>
        <v>Off</v>
      </c>
      <c r="AA3313" t="str">
        <f t="shared" si="574"/>
        <v>Off</v>
      </c>
      <c r="AB3313" t="str">
        <f t="shared" si="574"/>
        <v>Off</v>
      </c>
      <c r="AC3313" t="str">
        <f t="shared" si="574"/>
        <v>Off</v>
      </c>
      <c r="AD3313" t="str">
        <f t="shared" si="574"/>
        <v>Off</v>
      </c>
      <c r="AE3313" t="str">
        <f t="shared" si="574"/>
        <v>Off</v>
      </c>
      <c r="AF3313" t="str">
        <f t="shared" si="574"/>
        <v>Off</v>
      </c>
      <c r="AG3313" t="str">
        <f t="shared" si="574"/>
        <v>Off</v>
      </c>
    </row>
    <row r="3314" spans="1:33">
      <c r="A3314" t="s">
        <v>3275</v>
      </c>
      <c r="B3314" t="str">
        <f t="shared" si="572"/>
        <v>Off</v>
      </c>
      <c r="C3314" t="str">
        <f t="shared" si="572"/>
        <v>Off</v>
      </c>
      <c r="D3314" t="str">
        <f t="shared" si="572"/>
        <v>Off</v>
      </c>
      <c r="E3314" t="str">
        <f t="shared" si="572"/>
        <v>Off</v>
      </c>
      <c r="F3314" t="str">
        <f t="shared" si="572"/>
        <v>Off</v>
      </c>
      <c r="G3314" t="str">
        <f t="shared" si="572"/>
        <v>Off</v>
      </c>
      <c r="H3314" t="str">
        <f t="shared" si="572"/>
        <v>Off</v>
      </c>
      <c r="I3314" t="str">
        <f t="shared" si="572"/>
        <v>Off</v>
      </c>
      <c r="J3314" t="str">
        <f t="shared" si="572"/>
        <v>Off</v>
      </c>
      <c r="K3314" t="str">
        <f t="shared" si="572"/>
        <v>Off</v>
      </c>
      <c r="L3314" t="str">
        <f t="shared" si="573"/>
        <v>Off</v>
      </c>
      <c r="M3314" t="str">
        <f t="shared" si="573"/>
        <v>Off</v>
      </c>
      <c r="N3314" t="str">
        <f t="shared" si="573"/>
        <v>Off</v>
      </c>
      <c r="O3314" t="str">
        <f t="shared" si="573"/>
        <v>Off</v>
      </c>
      <c r="P3314" t="str">
        <f t="shared" si="573"/>
        <v>Off</v>
      </c>
      <c r="Q3314" t="str">
        <f t="shared" si="573"/>
        <v>Off</v>
      </c>
      <c r="R3314" t="str">
        <f t="shared" si="573"/>
        <v>Off</v>
      </c>
      <c r="S3314" t="str">
        <f t="shared" si="573"/>
        <v>Off</v>
      </c>
      <c r="T3314" t="str">
        <f t="shared" si="573"/>
        <v>Off</v>
      </c>
      <c r="U3314" t="str">
        <f t="shared" si="573"/>
        <v>Off</v>
      </c>
      <c r="V3314" t="str">
        <f t="shared" si="574"/>
        <v>Off</v>
      </c>
      <c r="W3314" t="str">
        <f t="shared" si="574"/>
        <v>Off</v>
      </c>
      <c r="X3314" t="str">
        <f t="shared" si="574"/>
        <v>Off</v>
      </c>
      <c r="Y3314" t="str">
        <f t="shared" si="574"/>
        <v>Off</v>
      </c>
      <c r="Z3314" t="str">
        <f t="shared" si="574"/>
        <v>Off</v>
      </c>
      <c r="AA3314" t="str">
        <f t="shared" si="574"/>
        <v>Off</v>
      </c>
      <c r="AB3314" t="str">
        <f t="shared" si="574"/>
        <v>Off</v>
      </c>
      <c r="AC3314" t="str">
        <f t="shared" si="574"/>
        <v>Off</v>
      </c>
      <c r="AD3314" t="str">
        <f t="shared" si="574"/>
        <v>Off</v>
      </c>
      <c r="AE3314" t="str">
        <f t="shared" si="574"/>
        <v>Off</v>
      </c>
      <c r="AF3314" t="str">
        <f t="shared" si="574"/>
        <v>Off</v>
      </c>
      <c r="AG3314" t="str">
        <f t="shared" si="574"/>
        <v>Off</v>
      </c>
    </row>
    <row r="3315" spans="1:33">
      <c r="A3315" t="s">
        <v>3276</v>
      </c>
      <c r="B3315" t="str">
        <f t="shared" si="572"/>
        <v>Off</v>
      </c>
      <c r="C3315" t="str">
        <f t="shared" si="572"/>
        <v>Off</v>
      </c>
      <c r="D3315" t="str">
        <f t="shared" si="572"/>
        <v>Off</v>
      </c>
      <c r="E3315" t="str">
        <f t="shared" si="572"/>
        <v>Off</v>
      </c>
      <c r="F3315" t="str">
        <f t="shared" si="572"/>
        <v>Off</v>
      </c>
      <c r="G3315" t="str">
        <f t="shared" si="572"/>
        <v>Off</v>
      </c>
      <c r="H3315" t="str">
        <f t="shared" si="572"/>
        <v>Off</v>
      </c>
      <c r="I3315" t="str">
        <f t="shared" si="572"/>
        <v>Off</v>
      </c>
      <c r="J3315" t="str">
        <f t="shared" si="572"/>
        <v>Off</v>
      </c>
      <c r="K3315" t="str">
        <f t="shared" si="572"/>
        <v>Off</v>
      </c>
      <c r="L3315" t="str">
        <f t="shared" si="573"/>
        <v>Off</v>
      </c>
      <c r="M3315" t="str">
        <f t="shared" si="573"/>
        <v>Off</v>
      </c>
      <c r="N3315" t="str">
        <f t="shared" si="573"/>
        <v>Off</v>
      </c>
      <c r="O3315" t="str">
        <f t="shared" si="573"/>
        <v>Off</v>
      </c>
      <c r="P3315" t="str">
        <f t="shared" si="573"/>
        <v>Off</v>
      </c>
      <c r="Q3315" t="str">
        <f t="shared" si="573"/>
        <v>Off</v>
      </c>
      <c r="R3315" t="str">
        <f t="shared" si="573"/>
        <v>Off</v>
      </c>
      <c r="S3315" t="str">
        <f t="shared" si="573"/>
        <v>Off</v>
      </c>
      <c r="T3315" t="str">
        <f t="shared" si="573"/>
        <v>Off</v>
      </c>
      <c r="U3315" t="str">
        <f t="shared" si="573"/>
        <v>Off</v>
      </c>
      <c r="V3315" t="str">
        <f t="shared" si="574"/>
        <v>Off</v>
      </c>
      <c r="W3315" t="str">
        <f t="shared" si="574"/>
        <v>Off</v>
      </c>
      <c r="X3315" t="str">
        <f t="shared" si="574"/>
        <v>Off</v>
      </c>
      <c r="Y3315" t="str">
        <f t="shared" si="574"/>
        <v>Off</v>
      </c>
      <c r="Z3315" t="str">
        <f t="shared" si="574"/>
        <v>Off</v>
      </c>
      <c r="AA3315" t="str">
        <f t="shared" si="574"/>
        <v>Off</v>
      </c>
      <c r="AB3315" t="str">
        <f t="shared" si="574"/>
        <v>Off</v>
      </c>
      <c r="AC3315" t="str">
        <f t="shared" si="574"/>
        <v>Off</v>
      </c>
      <c r="AD3315" t="str">
        <f t="shared" si="574"/>
        <v>Off</v>
      </c>
      <c r="AE3315" t="str">
        <f t="shared" si="574"/>
        <v>Off</v>
      </c>
      <c r="AF3315" t="str">
        <f t="shared" si="574"/>
        <v>Off</v>
      </c>
      <c r="AG3315" t="str">
        <f t="shared" si="574"/>
        <v>Off</v>
      </c>
    </row>
    <row r="3316" spans="1:33">
      <c r="A3316" t="s">
        <v>3277</v>
      </c>
      <c r="B3316" t="str">
        <f t="shared" si="572"/>
        <v>Off</v>
      </c>
      <c r="C3316" t="str">
        <f t="shared" si="572"/>
        <v>Off</v>
      </c>
      <c r="D3316" t="str">
        <f t="shared" si="572"/>
        <v>Off</v>
      </c>
      <c r="E3316" t="str">
        <f t="shared" si="572"/>
        <v>Off</v>
      </c>
      <c r="F3316" t="str">
        <f t="shared" si="572"/>
        <v>Off</v>
      </c>
      <c r="G3316" t="str">
        <f t="shared" si="572"/>
        <v>Off</v>
      </c>
      <c r="H3316" t="str">
        <f t="shared" si="572"/>
        <v>Off</v>
      </c>
      <c r="I3316" t="str">
        <f t="shared" si="572"/>
        <v>Off</v>
      </c>
      <c r="J3316" t="str">
        <f t="shared" si="572"/>
        <v>Off</v>
      </c>
      <c r="K3316" t="str">
        <f t="shared" si="572"/>
        <v>Off</v>
      </c>
      <c r="L3316" t="str">
        <f t="shared" si="573"/>
        <v>Off</v>
      </c>
      <c r="M3316" t="str">
        <f t="shared" si="573"/>
        <v>Off</v>
      </c>
      <c r="N3316" t="str">
        <f t="shared" si="573"/>
        <v>Off</v>
      </c>
      <c r="O3316" t="str">
        <f t="shared" si="573"/>
        <v>Off</v>
      </c>
      <c r="P3316" t="str">
        <f t="shared" si="573"/>
        <v>Off</v>
      </c>
      <c r="Q3316" t="str">
        <f t="shared" si="573"/>
        <v>Off</v>
      </c>
      <c r="R3316" t="str">
        <f t="shared" si="573"/>
        <v>Off</v>
      </c>
      <c r="S3316" t="str">
        <f t="shared" si="573"/>
        <v>Off</v>
      </c>
      <c r="T3316" t="str">
        <f t="shared" si="573"/>
        <v>Off</v>
      </c>
      <c r="U3316" t="str">
        <f t="shared" si="573"/>
        <v>Off</v>
      </c>
      <c r="V3316" t="str">
        <f t="shared" si="574"/>
        <v>Off</v>
      </c>
      <c r="W3316" t="str">
        <f t="shared" si="574"/>
        <v>Off</v>
      </c>
      <c r="X3316" t="str">
        <f t="shared" si="574"/>
        <v>Off</v>
      </c>
      <c r="Y3316" t="str">
        <f t="shared" si="574"/>
        <v>Off</v>
      </c>
      <c r="Z3316" t="str">
        <f t="shared" si="574"/>
        <v>Off</v>
      </c>
      <c r="AA3316" t="str">
        <f t="shared" si="574"/>
        <v>Off</v>
      </c>
      <c r="AB3316" t="str">
        <f t="shared" si="574"/>
        <v>Off</v>
      </c>
      <c r="AC3316" t="str">
        <f t="shared" si="574"/>
        <v>Off</v>
      </c>
      <c r="AD3316" t="str">
        <f t="shared" si="574"/>
        <v>Off</v>
      </c>
      <c r="AE3316" t="str">
        <f t="shared" si="574"/>
        <v>Off</v>
      </c>
      <c r="AF3316" t="str">
        <f t="shared" si="574"/>
        <v>Off</v>
      </c>
      <c r="AG3316" t="str">
        <f t="shared" si="574"/>
        <v>Off</v>
      </c>
    </row>
    <row r="3317" spans="1:33">
      <c r="A3317" t="s">
        <v>3278</v>
      </c>
      <c r="B3317" t="str">
        <f t="shared" si="572"/>
        <v>Off</v>
      </c>
      <c r="C3317" t="str">
        <f t="shared" si="572"/>
        <v>Off</v>
      </c>
      <c r="D3317" t="str">
        <f t="shared" si="572"/>
        <v>Off</v>
      </c>
      <c r="E3317" t="str">
        <f t="shared" si="572"/>
        <v>Off</v>
      </c>
      <c r="F3317" t="str">
        <f t="shared" si="572"/>
        <v>Off</v>
      </c>
      <c r="G3317" t="str">
        <f t="shared" si="572"/>
        <v>Off</v>
      </c>
      <c r="H3317" t="str">
        <f t="shared" si="572"/>
        <v>Off</v>
      </c>
      <c r="I3317" t="str">
        <f t="shared" si="572"/>
        <v>Off</v>
      </c>
      <c r="J3317" t="str">
        <f t="shared" si="572"/>
        <v>Off</v>
      </c>
      <c r="K3317" t="str">
        <f t="shared" si="572"/>
        <v>Off</v>
      </c>
      <c r="L3317" t="str">
        <f t="shared" si="573"/>
        <v>Off</v>
      </c>
      <c r="M3317" t="str">
        <f t="shared" si="573"/>
        <v>Off</v>
      </c>
      <c r="N3317" t="str">
        <f t="shared" si="573"/>
        <v>Off</v>
      </c>
      <c r="O3317" t="str">
        <f t="shared" si="573"/>
        <v>Off</v>
      </c>
      <c r="P3317" t="str">
        <f t="shared" si="573"/>
        <v>Off</v>
      </c>
      <c r="Q3317" t="str">
        <f t="shared" si="573"/>
        <v>Off</v>
      </c>
      <c r="R3317" t="str">
        <f t="shared" si="573"/>
        <v>Off</v>
      </c>
      <c r="S3317" t="str">
        <f t="shared" si="573"/>
        <v>Off</v>
      </c>
      <c r="T3317" t="str">
        <f t="shared" si="573"/>
        <v>Off</v>
      </c>
      <c r="U3317" t="str">
        <f t="shared" si="573"/>
        <v>Off</v>
      </c>
      <c r="V3317" t="str">
        <f t="shared" si="574"/>
        <v>Off</v>
      </c>
      <c r="W3317" t="str">
        <f t="shared" si="574"/>
        <v>Off</v>
      </c>
      <c r="X3317" t="str">
        <f t="shared" si="574"/>
        <v>Off</v>
      </c>
      <c r="Y3317" t="str">
        <f t="shared" si="574"/>
        <v>Off</v>
      </c>
      <c r="Z3317" t="str">
        <f t="shared" si="574"/>
        <v>Off</v>
      </c>
      <c r="AA3317" t="str">
        <f t="shared" si="574"/>
        <v>Off</v>
      </c>
      <c r="AB3317" t="str">
        <f t="shared" si="574"/>
        <v>Off</v>
      </c>
      <c r="AC3317" t="str">
        <f t="shared" si="574"/>
        <v>Off</v>
      </c>
      <c r="AD3317" t="str">
        <f t="shared" si="574"/>
        <v>Off</v>
      </c>
      <c r="AE3317" t="str">
        <f t="shared" si="574"/>
        <v>Off</v>
      </c>
      <c r="AF3317" t="str">
        <f t="shared" si="574"/>
        <v>Off</v>
      </c>
      <c r="AG3317" t="str">
        <f t="shared" si="574"/>
        <v>Off</v>
      </c>
    </row>
    <row r="3318" spans="1:33">
      <c r="A3318" t="s">
        <v>3279</v>
      </c>
      <c r="B3318" t="str">
        <f t="shared" si="572"/>
        <v>Off</v>
      </c>
      <c r="C3318" t="str">
        <f t="shared" si="572"/>
        <v>Off</v>
      </c>
      <c r="D3318" t="str">
        <f t="shared" si="572"/>
        <v>Off</v>
      </c>
      <c r="E3318" t="str">
        <f t="shared" si="572"/>
        <v>Off</v>
      </c>
      <c r="F3318" t="str">
        <f t="shared" si="572"/>
        <v>Off</v>
      </c>
      <c r="G3318" t="str">
        <f t="shared" si="572"/>
        <v>Off</v>
      </c>
      <c r="H3318" t="str">
        <f t="shared" si="572"/>
        <v>Off</v>
      </c>
      <c r="I3318" t="str">
        <f t="shared" si="572"/>
        <v>Off</v>
      </c>
      <c r="J3318" t="str">
        <f t="shared" si="572"/>
        <v>Off</v>
      </c>
      <c r="K3318" t="str">
        <f t="shared" si="572"/>
        <v>Off</v>
      </c>
      <c r="L3318" t="str">
        <f t="shared" si="573"/>
        <v>Off</v>
      </c>
      <c r="M3318" t="str">
        <f t="shared" si="573"/>
        <v>Off</v>
      </c>
      <c r="N3318" t="str">
        <f t="shared" si="573"/>
        <v>Off</v>
      </c>
      <c r="O3318" t="str">
        <f t="shared" si="573"/>
        <v>Off</v>
      </c>
      <c r="P3318" t="str">
        <f t="shared" si="573"/>
        <v>Off</v>
      </c>
      <c r="Q3318" t="str">
        <f t="shared" si="573"/>
        <v>Off</v>
      </c>
      <c r="R3318" t="str">
        <f t="shared" si="573"/>
        <v>Off</v>
      </c>
      <c r="S3318" t="str">
        <f t="shared" si="573"/>
        <v>Off</v>
      </c>
      <c r="T3318" t="str">
        <f t="shared" si="573"/>
        <v>Off</v>
      </c>
      <c r="U3318" t="str">
        <f t="shared" si="573"/>
        <v>Off</v>
      </c>
      <c r="V3318" t="str">
        <f t="shared" si="574"/>
        <v>Off</v>
      </c>
      <c r="W3318" t="str">
        <f t="shared" si="574"/>
        <v>Off</v>
      </c>
      <c r="X3318" t="str">
        <f t="shared" si="574"/>
        <v>Off</v>
      </c>
      <c r="Y3318" t="str">
        <f t="shared" si="574"/>
        <v>Off</v>
      </c>
      <c r="Z3318" t="str">
        <f t="shared" si="574"/>
        <v>Off</v>
      </c>
      <c r="AA3318" t="str">
        <f t="shared" si="574"/>
        <v>Off</v>
      </c>
      <c r="AB3318" t="str">
        <f t="shared" si="574"/>
        <v>Off</v>
      </c>
      <c r="AC3318" t="str">
        <f t="shared" si="574"/>
        <v>Off</v>
      </c>
      <c r="AD3318" t="str">
        <f t="shared" si="574"/>
        <v>Off</v>
      </c>
      <c r="AE3318" t="str">
        <f t="shared" si="574"/>
        <v>Off</v>
      </c>
      <c r="AF3318" t="str">
        <f t="shared" si="574"/>
        <v>Off</v>
      </c>
      <c r="AG3318" t="str">
        <f t="shared" si="574"/>
        <v>Off</v>
      </c>
    </row>
    <row r="3319" spans="1:33">
      <c r="A3319" t="s">
        <v>3280</v>
      </c>
      <c r="B3319" t="str">
        <f t="shared" ref="B3319:K3324" si="575">"Off"</f>
        <v>Off</v>
      </c>
      <c r="C3319" t="str">
        <f t="shared" si="575"/>
        <v>Off</v>
      </c>
      <c r="D3319" t="str">
        <f t="shared" si="575"/>
        <v>Off</v>
      </c>
      <c r="E3319" t="str">
        <f t="shared" si="575"/>
        <v>Off</v>
      </c>
      <c r="F3319" t="str">
        <f t="shared" si="575"/>
        <v>Off</v>
      </c>
      <c r="G3319" t="str">
        <f t="shared" si="575"/>
        <v>Off</v>
      </c>
      <c r="H3319" t="str">
        <f t="shared" si="575"/>
        <v>Off</v>
      </c>
      <c r="I3319" t="str">
        <f t="shared" si="575"/>
        <v>Off</v>
      </c>
      <c r="J3319" t="str">
        <f t="shared" si="575"/>
        <v>Off</v>
      </c>
      <c r="K3319" t="str">
        <f t="shared" si="575"/>
        <v>Off</v>
      </c>
      <c r="L3319" t="str">
        <f t="shared" ref="L3319:U3324" si="576">"Off"</f>
        <v>Off</v>
      </c>
      <c r="M3319" t="str">
        <f t="shared" si="576"/>
        <v>Off</v>
      </c>
      <c r="N3319" t="str">
        <f t="shared" si="576"/>
        <v>Off</v>
      </c>
      <c r="O3319" t="str">
        <f t="shared" si="576"/>
        <v>Off</v>
      </c>
      <c r="P3319" t="str">
        <f t="shared" si="576"/>
        <v>Off</v>
      </c>
      <c r="Q3319" t="str">
        <f t="shared" si="576"/>
        <v>Off</v>
      </c>
      <c r="R3319" t="str">
        <f t="shared" si="576"/>
        <v>Off</v>
      </c>
      <c r="S3319" t="str">
        <f t="shared" si="576"/>
        <v>Off</v>
      </c>
      <c r="T3319" t="str">
        <f t="shared" si="576"/>
        <v>Off</v>
      </c>
      <c r="U3319" t="str">
        <f t="shared" si="576"/>
        <v>Off</v>
      </c>
      <c r="V3319" t="str">
        <f t="shared" ref="V3319:AG3324" si="577">"Off"</f>
        <v>Off</v>
      </c>
      <c r="W3319" t="str">
        <f t="shared" si="577"/>
        <v>Off</v>
      </c>
      <c r="X3319" t="str">
        <f t="shared" si="577"/>
        <v>Off</v>
      </c>
      <c r="Y3319" t="str">
        <f t="shared" si="577"/>
        <v>Off</v>
      </c>
      <c r="Z3319" t="str">
        <f t="shared" si="577"/>
        <v>Off</v>
      </c>
      <c r="AA3319" t="str">
        <f t="shared" si="577"/>
        <v>Off</v>
      </c>
      <c r="AB3319" t="str">
        <f t="shared" si="577"/>
        <v>Off</v>
      </c>
      <c r="AC3319" t="str">
        <f t="shared" si="577"/>
        <v>Off</v>
      </c>
      <c r="AD3319" t="str">
        <f t="shared" si="577"/>
        <v>Off</v>
      </c>
      <c r="AE3319" t="str">
        <f t="shared" si="577"/>
        <v>Off</v>
      </c>
      <c r="AF3319" t="str">
        <f t="shared" si="577"/>
        <v>Off</v>
      </c>
      <c r="AG3319" t="str">
        <f t="shared" si="577"/>
        <v>Off</v>
      </c>
    </row>
    <row r="3320" spans="1:33">
      <c r="A3320" t="s">
        <v>3281</v>
      </c>
      <c r="B3320" t="str">
        <f t="shared" si="575"/>
        <v>Off</v>
      </c>
      <c r="C3320" t="str">
        <f t="shared" si="575"/>
        <v>Off</v>
      </c>
      <c r="D3320" t="str">
        <f t="shared" si="575"/>
        <v>Off</v>
      </c>
      <c r="E3320" t="str">
        <f t="shared" si="575"/>
        <v>Off</v>
      </c>
      <c r="F3320" t="str">
        <f t="shared" si="575"/>
        <v>Off</v>
      </c>
      <c r="G3320" t="str">
        <f t="shared" si="575"/>
        <v>Off</v>
      </c>
      <c r="H3320" t="str">
        <f t="shared" si="575"/>
        <v>Off</v>
      </c>
      <c r="I3320" t="str">
        <f t="shared" si="575"/>
        <v>Off</v>
      </c>
      <c r="J3320" t="str">
        <f t="shared" si="575"/>
        <v>Off</v>
      </c>
      <c r="K3320" t="str">
        <f t="shared" si="575"/>
        <v>Off</v>
      </c>
      <c r="L3320" t="str">
        <f t="shared" si="576"/>
        <v>Off</v>
      </c>
      <c r="M3320" t="str">
        <f t="shared" si="576"/>
        <v>Off</v>
      </c>
      <c r="N3320" t="str">
        <f t="shared" si="576"/>
        <v>Off</v>
      </c>
      <c r="O3320" t="str">
        <f t="shared" si="576"/>
        <v>Off</v>
      </c>
      <c r="P3320" t="str">
        <f t="shared" si="576"/>
        <v>Off</v>
      </c>
      <c r="Q3320" t="str">
        <f t="shared" si="576"/>
        <v>Off</v>
      </c>
      <c r="R3320" t="str">
        <f t="shared" si="576"/>
        <v>Off</v>
      </c>
      <c r="S3320" t="str">
        <f t="shared" si="576"/>
        <v>Off</v>
      </c>
      <c r="T3320" t="str">
        <f t="shared" si="576"/>
        <v>Off</v>
      </c>
      <c r="U3320" t="str">
        <f t="shared" si="576"/>
        <v>Off</v>
      </c>
      <c r="V3320" t="str">
        <f t="shared" si="577"/>
        <v>Off</v>
      </c>
      <c r="W3320" t="str">
        <f t="shared" si="577"/>
        <v>Off</v>
      </c>
      <c r="X3320" t="str">
        <f t="shared" si="577"/>
        <v>Off</v>
      </c>
      <c r="Y3320" t="str">
        <f t="shared" si="577"/>
        <v>Off</v>
      </c>
      <c r="Z3320" t="str">
        <f t="shared" si="577"/>
        <v>Off</v>
      </c>
      <c r="AA3320" t="str">
        <f t="shared" si="577"/>
        <v>Off</v>
      </c>
      <c r="AB3320" t="str">
        <f t="shared" si="577"/>
        <v>Off</v>
      </c>
      <c r="AC3320" t="str">
        <f t="shared" si="577"/>
        <v>Off</v>
      </c>
      <c r="AD3320" t="str">
        <f t="shared" si="577"/>
        <v>Off</v>
      </c>
      <c r="AE3320" t="str">
        <f t="shared" si="577"/>
        <v>Off</v>
      </c>
      <c r="AF3320" t="str">
        <f t="shared" si="577"/>
        <v>Off</v>
      </c>
      <c r="AG3320" t="str">
        <f t="shared" si="577"/>
        <v>Off</v>
      </c>
    </row>
    <row r="3321" spans="1:33">
      <c r="A3321" t="s">
        <v>3282</v>
      </c>
      <c r="B3321" t="str">
        <f t="shared" si="575"/>
        <v>Off</v>
      </c>
      <c r="C3321" t="str">
        <f t="shared" si="575"/>
        <v>Off</v>
      </c>
      <c r="D3321" t="str">
        <f t="shared" si="575"/>
        <v>Off</v>
      </c>
      <c r="E3321" t="str">
        <f t="shared" si="575"/>
        <v>Off</v>
      </c>
      <c r="F3321" t="str">
        <f t="shared" si="575"/>
        <v>Off</v>
      </c>
      <c r="G3321" t="str">
        <f t="shared" si="575"/>
        <v>Off</v>
      </c>
      <c r="H3321" t="str">
        <f t="shared" si="575"/>
        <v>Off</v>
      </c>
      <c r="I3321" t="str">
        <f t="shared" si="575"/>
        <v>Off</v>
      </c>
      <c r="J3321" t="str">
        <f t="shared" si="575"/>
        <v>Off</v>
      </c>
      <c r="K3321" t="str">
        <f t="shared" si="575"/>
        <v>Off</v>
      </c>
      <c r="L3321" t="str">
        <f t="shared" si="576"/>
        <v>Off</v>
      </c>
      <c r="M3321" t="str">
        <f t="shared" si="576"/>
        <v>Off</v>
      </c>
      <c r="N3321" t="str">
        <f t="shared" si="576"/>
        <v>Off</v>
      </c>
      <c r="O3321" t="str">
        <f t="shared" si="576"/>
        <v>Off</v>
      </c>
      <c r="P3321" t="str">
        <f t="shared" si="576"/>
        <v>Off</v>
      </c>
      <c r="Q3321" t="str">
        <f t="shared" si="576"/>
        <v>Off</v>
      </c>
      <c r="R3321" t="str">
        <f t="shared" si="576"/>
        <v>Off</v>
      </c>
      <c r="S3321" t="str">
        <f t="shared" si="576"/>
        <v>Off</v>
      </c>
      <c r="T3321" t="str">
        <f t="shared" si="576"/>
        <v>Off</v>
      </c>
      <c r="U3321" t="str">
        <f t="shared" si="576"/>
        <v>Off</v>
      </c>
      <c r="V3321" t="str">
        <f t="shared" si="577"/>
        <v>Off</v>
      </c>
      <c r="W3321" t="str">
        <f t="shared" si="577"/>
        <v>Off</v>
      </c>
      <c r="X3321" t="str">
        <f t="shared" si="577"/>
        <v>Off</v>
      </c>
      <c r="Y3321" t="str">
        <f t="shared" si="577"/>
        <v>Off</v>
      </c>
      <c r="Z3321" t="str">
        <f t="shared" si="577"/>
        <v>Off</v>
      </c>
      <c r="AA3321" t="str">
        <f t="shared" si="577"/>
        <v>Off</v>
      </c>
      <c r="AB3321" t="str">
        <f t="shared" si="577"/>
        <v>Off</v>
      </c>
      <c r="AC3321" t="str">
        <f t="shared" si="577"/>
        <v>Off</v>
      </c>
      <c r="AD3321" t="str">
        <f t="shared" si="577"/>
        <v>Off</v>
      </c>
      <c r="AE3321" t="str">
        <f t="shared" si="577"/>
        <v>Off</v>
      </c>
      <c r="AF3321" t="str">
        <f t="shared" si="577"/>
        <v>Off</v>
      </c>
      <c r="AG3321" t="str">
        <f t="shared" si="577"/>
        <v>Off</v>
      </c>
    </row>
    <row r="3322" spans="1:33">
      <c r="A3322" t="s">
        <v>3283</v>
      </c>
      <c r="B3322" t="str">
        <f t="shared" si="575"/>
        <v>Off</v>
      </c>
      <c r="C3322" t="str">
        <f t="shared" si="575"/>
        <v>Off</v>
      </c>
      <c r="D3322" t="str">
        <f t="shared" si="575"/>
        <v>Off</v>
      </c>
      <c r="E3322" t="str">
        <f t="shared" si="575"/>
        <v>Off</v>
      </c>
      <c r="F3322" t="str">
        <f t="shared" si="575"/>
        <v>Off</v>
      </c>
      <c r="G3322" t="str">
        <f t="shared" si="575"/>
        <v>Off</v>
      </c>
      <c r="H3322" t="str">
        <f t="shared" si="575"/>
        <v>Off</v>
      </c>
      <c r="I3322" t="str">
        <f t="shared" si="575"/>
        <v>Off</v>
      </c>
      <c r="J3322" t="str">
        <f t="shared" si="575"/>
        <v>Off</v>
      </c>
      <c r="K3322" t="str">
        <f t="shared" si="575"/>
        <v>Off</v>
      </c>
      <c r="L3322" t="str">
        <f t="shared" si="576"/>
        <v>Off</v>
      </c>
      <c r="M3322" t="str">
        <f t="shared" si="576"/>
        <v>Off</v>
      </c>
      <c r="N3322" t="str">
        <f t="shared" si="576"/>
        <v>Off</v>
      </c>
      <c r="O3322" t="str">
        <f t="shared" si="576"/>
        <v>Off</v>
      </c>
      <c r="P3322" t="str">
        <f t="shared" si="576"/>
        <v>Off</v>
      </c>
      <c r="Q3322" t="str">
        <f t="shared" si="576"/>
        <v>Off</v>
      </c>
      <c r="R3322" t="str">
        <f t="shared" si="576"/>
        <v>Off</v>
      </c>
      <c r="S3322" t="str">
        <f t="shared" si="576"/>
        <v>Off</v>
      </c>
      <c r="T3322" t="str">
        <f t="shared" si="576"/>
        <v>Off</v>
      </c>
      <c r="U3322" t="str">
        <f t="shared" si="576"/>
        <v>Off</v>
      </c>
      <c r="V3322" t="str">
        <f t="shared" si="577"/>
        <v>Off</v>
      </c>
      <c r="W3322" t="str">
        <f t="shared" si="577"/>
        <v>Off</v>
      </c>
      <c r="X3322" t="str">
        <f t="shared" si="577"/>
        <v>Off</v>
      </c>
      <c r="Y3322" t="str">
        <f t="shared" si="577"/>
        <v>Off</v>
      </c>
      <c r="Z3322" t="str">
        <f t="shared" si="577"/>
        <v>Off</v>
      </c>
      <c r="AA3322" t="str">
        <f t="shared" si="577"/>
        <v>Off</v>
      </c>
      <c r="AB3322" t="str">
        <f t="shared" si="577"/>
        <v>Off</v>
      </c>
      <c r="AC3322" t="str">
        <f t="shared" si="577"/>
        <v>Off</v>
      </c>
      <c r="AD3322" t="str">
        <f t="shared" si="577"/>
        <v>Off</v>
      </c>
      <c r="AE3322" t="str">
        <f t="shared" si="577"/>
        <v>Off</v>
      </c>
      <c r="AF3322" t="str">
        <f t="shared" si="577"/>
        <v>Off</v>
      </c>
      <c r="AG3322" t="str">
        <f t="shared" si="577"/>
        <v>Off</v>
      </c>
    </row>
    <row r="3323" spans="1:33">
      <c r="A3323" t="s">
        <v>3284</v>
      </c>
      <c r="B3323" t="str">
        <f t="shared" si="575"/>
        <v>Off</v>
      </c>
      <c r="C3323" t="str">
        <f t="shared" si="575"/>
        <v>Off</v>
      </c>
      <c r="D3323" t="str">
        <f t="shared" si="575"/>
        <v>Off</v>
      </c>
      <c r="E3323" t="str">
        <f t="shared" si="575"/>
        <v>Off</v>
      </c>
      <c r="F3323" t="str">
        <f t="shared" si="575"/>
        <v>Off</v>
      </c>
      <c r="G3323" t="str">
        <f t="shared" si="575"/>
        <v>Off</v>
      </c>
      <c r="H3323" t="str">
        <f t="shared" si="575"/>
        <v>Off</v>
      </c>
      <c r="I3323" t="str">
        <f t="shared" si="575"/>
        <v>Off</v>
      </c>
      <c r="J3323" t="str">
        <f t="shared" si="575"/>
        <v>Off</v>
      </c>
      <c r="K3323" t="str">
        <f t="shared" si="575"/>
        <v>Off</v>
      </c>
      <c r="L3323" t="str">
        <f t="shared" si="576"/>
        <v>Off</v>
      </c>
      <c r="M3323" t="str">
        <f t="shared" si="576"/>
        <v>Off</v>
      </c>
      <c r="N3323" t="str">
        <f t="shared" si="576"/>
        <v>Off</v>
      </c>
      <c r="O3323" t="str">
        <f t="shared" si="576"/>
        <v>Off</v>
      </c>
      <c r="P3323" t="str">
        <f t="shared" si="576"/>
        <v>Off</v>
      </c>
      <c r="Q3323" t="str">
        <f t="shared" si="576"/>
        <v>Off</v>
      </c>
      <c r="R3323" t="str">
        <f t="shared" si="576"/>
        <v>Off</v>
      </c>
      <c r="S3323" t="str">
        <f t="shared" si="576"/>
        <v>Off</v>
      </c>
      <c r="T3323" t="str">
        <f t="shared" si="576"/>
        <v>Off</v>
      </c>
      <c r="U3323" t="str">
        <f t="shared" si="576"/>
        <v>Off</v>
      </c>
      <c r="V3323" t="str">
        <f t="shared" si="577"/>
        <v>Off</v>
      </c>
      <c r="W3323" t="str">
        <f t="shared" si="577"/>
        <v>Off</v>
      </c>
      <c r="X3323" t="str">
        <f t="shared" si="577"/>
        <v>Off</v>
      </c>
      <c r="Y3323" t="str">
        <f t="shared" si="577"/>
        <v>Off</v>
      </c>
      <c r="Z3323" t="str">
        <f t="shared" si="577"/>
        <v>Off</v>
      </c>
      <c r="AA3323" t="str">
        <f t="shared" si="577"/>
        <v>Off</v>
      </c>
      <c r="AB3323" t="str">
        <f t="shared" si="577"/>
        <v>Off</v>
      </c>
      <c r="AC3323" t="str">
        <f t="shared" si="577"/>
        <v>Off</v>
      </c>
      <c r="AD3323" t="str">
        <f t="shared" si="577"/>
        <v>Off</v>
      </c>
      <c r="AE3323" t="str">
        <f t="shared" si="577"/>
        <v>Off</v>
      </c>
      <c r="AF3323" t="str">
        <f t="shared" si="577"/>
        <v>Off</v>
      </c>
      <c r="AG3323" t="str">
        <f t="shared" si="577"/>
        <v>Off</v>
      </c>
    </row>
    <row r="3324" spans="1:33">
      <c r="A3324" t="s">
        <v>3285</v>
      </c>
      <c r="B3324" t="str">
        <f t="shared" si="575"/>
        <v>Off</v>
      </c>
      <c r="C3324" t="str">
        <f t="shared" si="575"/>
        <v>Off</v>
      </c>
      <c r="D3324" t="str">
        <f t="shared" si="575"/>
        <v>Off</v>
      </c>
      <c r="E3324" t="str">
        <f t="shared" si="575"/>
        <v>Off</v>
      </c>
      <c r="F3324" t="str">
        <f t="shared" si="575"/>
        <v>Off</v>
      </c>
      <c r="G3324" t="str">
        <f t="shared" si="575"/>
        <v>Off</v>
      </c>
      <c r="H3324" t="str">
        <f t="shared" si="575"/>
        <v>Off</v>
      </c>
      <c r="I3324" t="str">
        <f t="shared" si="575"/>
        <v>Off</v>
      </c>
      <c r="J3324" t="str">
        <f t="shared" si="575"/>
        <v>Off</v>
      </c>
      <c r="K3324" t="str">
        <f t="shared" si="575"/>
        <v>Off</v>
      </c>
      <c r="L3324" t="str">
        <f t="shared" si="576"/>
        <v>Off</v>
      </c>
      <c r="M3324" t="str">
        <f t="shared" si="576"/>
        <v>Off</v>
      </c>
      <c r="N3324" t="str">
        <f t="shared" si="576"/>
        <v>Off</v>
      </c>
      <c r="O3324" t="str">
        <f t="shared" si="576"/>
        <v>Off</v>
      </c>
      <c r="P3324" t="str">
        <f t="shared" si="576"/>
        <v>Off</v>
      </c>
      <c r="Q3324" t="str">
        <f t="shared" si="576"/>
        <v>Off</v>
      </c>
      <c r="R3324" t="str">
        <f t="shared" si="576"/>
        <v>Off</v>
      </c>
      <c r="S3324" t="str">
        <f t="shared" si="576"/>
        <v>Off</v>
      </c>
      <c r="T3324" t="str">
        <f t="shared" si="576"/>
        <v>Off</v>
      </c>
      <c r="U3324" t="str">
        <f t="shared" si="576"/>
        <v>Off</v>
      </c>
      <c r="V3324" t="str">
        <f t="shared" si="577"/>
        <v>Off</v>
      </c>
      <c r="W3324" t="str">
        <f t="shared" si="577"/>
        <v>Off</v>
      </c>
      <c r="X3324" t="str">
        <f t="shared" si="577"/>
        <v>Off</v>
      </c>
      <c r="Y3324" t="str">
        <f t="shared" si="577"/>
        <v>Off</v>
      </c>
      <c r="Z3324" t="str">
        <f t="shared" si="577"/>
        <v>Off</v>
      </c>
      <c r="AA3324" t="str">
        <f t="shared" si="577"/>
        <v>Off</v>
      </c>
      <c r="AB3324" t="str">
        <f t="shared" si="577"/>
        <v>Off</v>
      </c>
      <c r="AC3324" t="str">
        <f t="shared" si="577"/>
        <v>Off</v>
      </c>
      <c r="AD3324" t="str">
        <f t="shared" si="577"/>
        <v>Off</v>
      </c>
      <c r="AE3324" t="str">
        <f t="shared" si="577"/>
        <v>Off</v>
      </c>
      <c r="AF3324" t="str">
        <f t="shared" si="577"/>
        <v>Off</v>
      </c>
      <c r="AG3324" t="str">
        <f t="shared" si="577"/>
        <v>Off</v>
      </c>
    </row>
    <row r="3325" spans="1:33">
      <c r="A3325" t="s">
        <v>3286</v>
      </c>
      <c r="B3325">
        <v>0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</row>
    <row r="3326" spans="1:33">
      <c r="A3326" t="s">
        <v>3287</v>
      </c>
      <c r="B3326">
        <v>0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</row>
    <row r="3327" spans="1:33">
      <c r="A3327" t="s">
        <v>3288</v>
      </c>
      <c r="B3327" t="str">
        <f t="shared" ref="B3327:K3336" si="578">"Off"</f>
        <v>Off</v>
      </c>
      <c r="C3327" t="str">
        <f t="shared" si="578"/>
        <v>Off</v>
      </c>
      <c r="D3327" t="str">
        <f t="shared" si="578"/>
        <v>Off</v>
      </c>
      <c r="E3327" t="str">
        <f t="shared" si="578"/>
        <v>Off</v>
      </c>
      <c r="F3327" t="str">
        <f t="shared" si="578"/>
        <v>Off</v>
      </c>
      <c r="G3327" t="str">
        <f t="shared" si="578"/>
        <v>Off</v>
      </c>
      <c r="H3327" t="str">
        <f t="shared" si="578"/>
        <v>Off</v>
      </c>
      <c r="I3327" t="str">
        <f t="shared" si="578"/>
        <v>Off</v>
      </c>
      <c r="J3327" t="str">
        <f t="shared" si="578"/>
        <v>Off</v>
      </c>
      <c r="K3327" t="str">
        <f t="shared" si="578"/>
        <v>Off</v>
      </c>
      <c r="L3327" t="str">
        <f t="shared" ref="L3327:U3336" si="579">"Off"</f>
        <v>Off</v>
      </c>
      <c r="M3327" t="str">
        <f t="shared" si="579"/>
        <v>Off</v>
      </c>
      <c r="N3327" t="str">
        <f t="shared" si="579"/>
        <v>Off</v>
      </c>
      <c r="O3327" t="str">
        <f t="shared" si="579"/>
        <v>Off</v>
      </c>
      <c r="P3327" t="str">
        <f t="shared" si="579"/>
        <v>Off</v>
      </c>
      <c r="Q3327" t="str">
        <f t="shared" si="579"/>
        <v>Off</v>
      </c>
      <c r="R3327" t="str">
        <f t="shared" si="579"/>
        <v>Off</v>
      </c>
      <c r="S3327" t="str">
        <f t="shared" si="579"/>
        <v>Off</v>
      </c>
      <c r="T3327" t="str">
        <f t="shared" si="579"/>
        <v>Off</v>
      </c>
      <c r="U3327" t="str">
        <f t="shared" si="579"/>
        <v>Off</v>
      </c>
      <c r="V3327" t="str">
        <f t="shared" ref="V3327:AG3336" si="580">"Off"</f>
        <v>Off</v>
      </c>
      <c r="W3327" t="str">
        <f t="shared" si="580"/>
        <v>Off</v>
      </c>
      <c r="X3327" t="str">
        <f t="shared" si="580"/>
        <v>Off</v>
      </c>
      <c r="Y3327" t="str">
        <f t="shared" si="580"/>
        <v>Off</v>
      </c>
      <c r="Z3327" t="str">
        <f t="shared" si="580"/>
        <v>Off</v>
      </c>
      <c r="AA3327" t="str">
        <f t="shared" si="580"/>
        <v>Off</v>
      </c>
      <c r="AB3327" t="str">
        <f t="shared" si="580"/>
        <v>Off</v>
      </c>
      <c r="AC3327" t="str">
        <f t="shared" si="580"/>
        <v>Off</v>
      </c>
      <c r="AD3327" t="str">
        <f t="shared" si="580"/>
        <v>Off</v>
      </c>
      <c r="AE3327" t="str">
        <f t="shared" si="580"/>
        <v>Off</v>
      </c>
      <c r="AF3327" t="str">
        <f t="shared" si="580"/>
        <v>Off</v>
      </c>
      <c r="AG3327" t="str">
        <f t="shared" si="580"/>
        <v>Off</v>
      </c>
    </row>
    <row r="3328" spans="1:33">
      <c r="A3328" t="s">
        <v>3289</v>
      </c>
      <c r="B3328" t="str">
        <f t="shared" si="578"/>
        <v>Off</v>
      </c>
      <c r="C3328" t="str">
        <f t="shared" si="578"/>
        <v>Off</v>
      </c>
      <c r="D3328" t="str">
        <f t="shared" si="578"/>
        <v>Off</v>
      </c>
      <c r="E3328" t="str">
        <f t="shared" si="578"/>
        <v>Off</v>
      </c>
      <c r="F3328" t="str">
        <f t="shared" si="578"/>
        <v>Off</v>
      </c>
      <c r="G3328" t="str">
        <f t="shared" si="578"/>
        <v>Off</v>
      </c>
      <c r="H3328" t="str">
        <f t="shared" si="578"/>
        <v>Off</v>
      </c>
      <c r="I3328" t="str">
        <f t="shared" si="578"/>
        <v>Off</v>
      </c>
      <c r="J3328" t="str">
        <f t="shared" si="578"/>
        <v>Off</v>
      </c>
      <c r="K3328" t="str">
        <f t="shared" si="578"/>
        <v>Off</v>
      </c>
      <c r="L3328" t="str">
        <f t="shared" si="579"/>
        <v>Off</v>
      </c>
      <c r="M3328" t="str">
        <f t="shared" si="579"/>
        <v>Off</v>
      </c>
      <c r="N3328" t="str">
        <f t="shared" si="579"/>
        <v>Off</v>
      </c>
      <c r="O3328" t="str">
        <f t="shared" si="579"/>
        <v>Off</v>
      </c>
      <c r="P3328" t="str">
        <f t="shared" si="579"/>
        <v>Off</v>
      </c>
      <c r="Q3328" t="str">
        <f t="shared" si="579"/>
        <v>Off</v>
      </c>
      <c r="R3328" t="str">
        <f t="shared" si="579"/>
        <v>Off</v>
      </c>
      <c r="S3328" t="str">
        <f t="shared" si="579"/>
        <v>Off</v>
      </c>
      <c r="T3328" t="str">
        <f t="shared" si="579"/>
        <v>Off</v>
      </c>
      <c r="U3328" t="str">
        <f t="shared" si="579"/>
        <v>Off</v>
      </c>
      <c r="V3328" t="str">
        <f t="shared" si="580"/>
        <v>Off</v>
      </c>
      <c r="W3328" t="str">
        <f t="shared" si="580"/>
        <v>Off</v>
      </c>
      <c r="X3328" t="str">
        <f t="shared" si="580"/>
        <v>Off</v>
      </c>
      <c r="Y3328" t="str">
        <f t="shared" si="580"/>
        <v>Off</v>
      </c>
      <c r="Z3328" t="str">
        <f t="shared" si="580"/>
        <v>Off</v>
      </c>
      <c r="AA3328" t="str">
        <f t="shared" si="580"/>
        <v>Off</v>
      </c>
      <c r="AB3328" t="str">
        <f t="shared" si="580"/>
        <v>Off</v>
      </c>
      <c r="AC3328" t="str">
        <f t="shared" si="580"/>
        <v>Off</v>
      </c>
      <c r="AD3328" t="str">
        <f t="shared" si="580"/>
        <v>Off</v>
      </c>
      <c r="AE3328" t="str">
        <f t="shared" si="580"/>
        <v>Off</v>
      </c>
      <c r="AF3328" t="str">
        <f t="shared" si="580"/>
        <v>Off</v>
      </c>
      <c r="AG3328" t="str">
        <f t="shared" si="580"/>
        <v>Off</v>
      </c>
    </row>
    <row r="3329" spans="1:33">
      <c r="A3329" t="s">
        <v>3290</v>
      </c>
      <c r="B3329" t="str">
        <f t="shared" si="578"/>
        <v>Off</v>
      </c>
      <c r="C3329" t="str">
        <f t="shared" si="578"/>
        <v>Off</v>
      </c>
      <c r="D3329" t="str">
        <f t="shared" si="578"/>
        <v>Off</v>
      </c>
      <c r="E3329" t="str">
        <f t="shared" si="578"/>
        <v>Off</v>
      </c>
      <c r="F3329" t="str">
        <f t="shared" si="578"/>
        <v>Off</v>
      </c>
      <c r="G3329" t="str">
        <f t="shared" si="578"/>
        <v>Off</v>
      </c>
      <c r="H3329" t="str">
        <f t="shared" si="578"/>
        <v>Off</v>
      </c>
      <c r="I3329" t="str">
        <f t="shared" si="578"/>
        <v>Off</v>
      </c>
      <c r="J3329" t="str">
        <f t="shared" si="578"/>
        <v>Off</v>
      </c>
      <c r="K3329" t="str">
        <f t="shared" si="578"/>
        <v>Off</v>
      </c>
      <c r="L3329" t="str">
        <f t="shared" si="579"/>
        <v>Off</v>
      </c>
      <c r="M3329" t="str">
        <f t="shared" si="579"/>
        <v>Off</v>
      </c>
      <c r="N3329" t="str">
        <f t="shared" si="579"/>
        <v>Off</v>
      </c>
      <c r="O3329" t="str">
        <f t="shared" si="579"/>
        <v>Off</v>
      </c>
      <c r="P3329" t="str">
        <f t="shared" si="579"/>
        <v>Off</v>
      </c>
      <c r="Q3329" t="str">
        <f t="shared" si="579"/>
        <v>Off</v>
      </c>
      <c r="R3329" t="str">
        <f t="shared" si="579"/>
        <v>Off</v>
      </c>
      <c r="S3329" t="str">
        <f t="shared" si="579"/>
        <v>Off</v>
      </c>
      <c r="T3329" t="str">
        <f t="shared" si="579"/>
        <v>Off</v>
      </c>
      <c r="U3329" t="str">
        <f t="shared" si="579"/>
        <v>Off</v>
      </c>
      <c r="V3329" t="str">
        <f t="shared" si="580"/>
        <v>Off</v>
      </c>
      <c r="W3329" t="str">
        <f t="shared" si="580"/>
        <v>Off</v>
      </c>
      <c r="X3329" t="str">
        <f t="shared" si="580"/>
        <v>Off</v>
      </c>
      <c r="Y3329" t="str">
        <f t="shared" si="580"/>
        <v>Off</v>
      </c>
      <c r="Z3329" t="str">
        <f t="shared" si="580"/>
        <v>Off</v>
      </c>
      <c r="AA3329" t="str">
        <f t="shared" si="580"/>
        <v>Off</v>
      </c>
      <c r="AB3329" t="str">
        <f t="shared" si="580"/>
        <v>Off</v>
      </c>
      <c r="AC3329" t="str">
        <f t="shared" si="580"/>
        <v>Off</v>
      </c>
      <c r="AD3329" t="str">
        <f t="shared" si="580"/>
        <v>Off</v>
      </c>
      <c r="AE3329" t="str">
        <f t="shared" si="580"/>
        <v>Off</v>
      </c>
      <c r="AF3329" t="str">
        <f t="shared" si="580"/>
        <v>Off</v>
      </c>
      <c r="AG3329" t="str">
        <f t="shared" si="580"/>
        <v>Off</v>
      </c>
    </row>
    <row r="3330" spans="1:33">
      <c r="A3330" t="s">
        <v>3291</v>
      </c>
      <c r="B3330" t="str">
        <f t="shared" si="578"/>
        <v>Off</v>
      </c>
      <c r="C3330" t="str">
        <f t="shared" si="578"/>
        <v>Off</v>
      </c>
      <c r="D3330" t="str">
        <f t="shared" si="578"/>
        <v>Off</v>
      </c>
      <c r="E3330" t="str">
        <f t="shared" si="578"/>
        <v>Off</v>
      </c>
      <c r="F3330" t="str">
        <f t="shared" si="578"/>
        <v>Off</v>
      </c>
      <c r="G3330" t="str">
        <f t="shared" si="578"/>
        <v>Off</v>
      </c>
      <c r="H3330" t="str">
        <f t="shared" si="578"/>
        <v>Off</v>
      </c>
      <c r="I3330" t="str">
        <f t="shared" si="578"/>
        <v>Off</v>
      </c>
      <c r="J3330" t="str">
        <f t="shared" si="578"/>
        <v>Off</v>
      </c>
      <c r="K3330" t="str">
        <f t="shared" si="578"/>
        <v>Off</v>
      </c>
      <c r="L3330" t="str">
        <f t="shared" si="579"/>
        <v>Off</v>
      </c>
      <c r="M3330" t="str">
        <f t="shared" si="579"/>
        <v>Off</v>
      </c>
      <c r="N3330" t="str">
        <f t="shared" si="579"/>
        <v>Off</v>
      </c>
      <c r="O3330" t="str">
        <f t="shared" si="579"/>
        <v>Off</v>
      </c>
      <c r="P3330" t="str">
        <f t="shared" si="579"/>
        <v>Off</v>
      </c>
      <c r="Q3330" t="str">
        <f t="shared" si="579"/>
        <v>Off</v>
      </c>
      <c r="R3330" t="str">
        <f t="shared" si="579"/>
        <v>Off</v>
      </c>
      <c r="S3330" t="str">
        <f t="shared" si="579"/>
        <v>Off</v>
      </c>
      <c r="T3330" t="str">
        <f t="shared" si="579"/>
        <v>Off</v>
      </c>
      <c r="U3330" t="str">
        <f t="shared" si="579"/>
        <v>Off</v>
      </c>
      <c r="V3330" t="str">
        <f t="shared" si="580"/>
        <v>Off</v>
      </c>
      <c r="W3330" t="str">
        <f t="shared" si="580"/>
        <v>Off</v>
      </c>
      <c r="X3330" t="str">
        <f t="shared" si="580"/>
        <v>Off</v>
      </c>
      <c r="Y3330" t="str">
        <f t="shared" si="580"/>
        <v>Off</v>
      </c>
      <c r="Z3330" t="str">
        <f t="shared" si="580"/>
        <v>Off</v>
      </c>
      <c r="AA3330" t="str">
        <f t="shared" si="580"/>
        <v>Off</v>
      </c>
      <c r="AB3330" t="str">
        <f t="shared" si="580"/>
        <v>Off</v>
      </c>
      <c r="AC3330" t="str">
        <f t="shared" si="580"/>
        <v>Off</v>
      </c>
      <c r="AD3330" t="str">
        <f t="shared" si="580"/>
        <v>Off</v>
      </c>
      <c r="AE3330" t="str">
        <f t="shared" si="580"/>
        <v>Off</v>
      </c>
      <c r="AF3330" t="str">
        <f t="shared" si="580"/>
        <v>Off</v>
      </c>
      <c r="AG3330" t="str">
        <f t="shared" si="580"/>
        <v>Off</v>
      </c>
    </row>
    <row r="3331" spans="1:33">
      <c r="A3331" t="s">
        <v>3292</v>
      </c>
      <c r="B3331" t="str">
        <f t="shared" si="578"/>
        <v>Off</v>
      </c>
      <c r="C3331" t="str">
        <f t="shared" si="578"/>
        <v>Off</v>
      </c>
      <c r="D3331" t="str">
        <f t="shared" si="578"/>
        <v>Off</v>
      </c>
      <c r="E3331" t="str">
        <f t="shared" si="578"/>
        <v>Off</v>
      </c>
      <c r="F3331" t="str">
        <f t="shared" si="578"/>
        <v>Off</v>
      </c>
      <c r="G3331" t="str">
        <f t="shared" si="578"/>
        <v>Off</v>
      </c>
      <c r="H3331" t="str">
        <f t="shared" si="578"/>
        <v>Off</v>
      </c>
      <c r="I3331" t="str">
        <f t="shared" si="578"/>
        <v>Off</v>
      </c>
      <c r="J3331" t="str">
        <f t="shared" si="578"/>
        <v>Off</v>
      </c>
      <c r="K3331" t="str">
        <f t="shared" si="578"/>
        <v>Off</v>
      </c>
      <c r="L3331" t="str">
        <f t="shared" si="579"/>
        <v>Off</v>
      </c>
      <c r="M3331" t="str">
        <f t="shared" si="579"/>
        <v>Off</v>
      </c>
      <c r="N3331" t="str">
        <f t="shared" si="579"/>
        <v>Off</v>
      </c>
      <c r="O3331" t="str">
        <f t="shared" si="579"/>
        <v>Off</v>
      </c>
      <c r="P3331" t="str">
        <f t="shared" si="579"/>
        <v>Off</v>
      </c>
      <c r="Q3331" t="str">
        <f t="shared" si="579"/>
        <v>Off</v>
      </c>
      <c r="R3331" t="str">
        <f t="shared" si="579"/>
        <v>Off</v>
      </c>
      <c r="S3331" t="str">
        <f t="shared" si="579"/>
        <v>Off</v>
      </c>
      <c r="T3331" t="str">
        <f t="shared" si="579"/>
        <v>Off</v>
      </c>
      <c r="U3331" t="str">
        <f t="shared" si="579"/>
        <v>Off</v>
      </c>
      <c r="V3331" t="str">
        <f t="shared" si="580"/>
        <v>Off</v>
      </c>
      <c r="W3331" t="str">
        <f t="shared" si="580"/>
        <v>Off</v>
      </c>
      <c r="X3331" t="str">
        <f t="shared" si="580"/>
        <v>Off</v>
      </c>
      <c r="Y3331" t="str">
        <f t="shared" si="580"/>
        <v>Off</v>
      </c>
      <c r="Z3331" t="str">
        <f t="shared" si="580"/>
        <v>Off</v>
      </c>
      <c r="AA3331" t="str">
        <f t="shared" si="580"/>
        <v>Off</v>
      </c>
      <c r="AB3331" t="str">
        <f t="shared" si="580"/>
        <v>Off</v>
      </c>
      <c r="AC3331" t="str">
        <f t="shared" si="580"/>
        <v>Off</v>
      </c>
      <c r="AD3331" t="str">
        <f t="shared" si="580"/>
        <v>Off</v>
      </c>
      <c r="AE3331" t="str">
        <f t="shared" si="580"/>
        <v>Off</v>
      </c>
      <c r="AF3331" t="str">
        <f t="shared" si="580"/>
        <v>Off</v>
      </c>
      <c r="AG3331" t="str">
        <f t="shared" si="580"/>
        <v>Off</v>
      </c>
    </row>
    <row r="3332" spans="1:33">
      <c r="A3332" t="s">
        <v>3293</v>
      </c>
      <c r="B3332" t="str">
        <f t="shared" si="578"/>
        <v>Off</v>
      </c>
      <c r="C3332" t="str">
        <f t="shared" si="578"/>
        <v>Off</v>
      </c>
      <c r="D3332" t="str">
        <f t="shared" si="578"/>
        <v>Off</v>
      </c>
      <c r="E3332" t="str">
        <f t="shared" si="578"/>
        <v>Off</v>
      </c>
      <c r="F3332" t="str">
        <f t="shared" si="578"/>
        <v>Off</v>
      </c>
      <c r="G3332" t="str">
        <f t="shared" si="578"/>
        <v>Off</v>
      </c>
      <c r="H3332" t="str">
        <f t="shared" si="578"/>
        <v>Off</v>
      </c>
      <c r="I3332" t="str">
        <f t="shared" si="578"/>
        <v>Off</v>
      </c>
      <c r="J3332" t="str">
        <f t="shared" si="578"/>
        <v>Off</v>
      </c>
      <c r="K3332" t="str">
        <f t="shared" si="578"/>
        <v>Off</v>
      </c>
      <c r="L3332" t="str">
        <f t="shared" si="579"/>
        <v>Off</v>
      </c>
      <c r="M3332" t="str">
        <f t="shared" si="579"/>
        <v>Off</v>
      </c>
      <c r="N3332" t="str">
        <f t="shared" si="579"/>
        <v>Off</v>
      </c>
      <c r="O3332" t="str">
        <f t="shared" si="579"/>
        <v>Off</v>
      </c>
      <c r="P3332" t="str">
        <f t="shared" si="579"/>
        <v>Off</v>
      </c>
      <c r="Q3332" t="str">
        <f t="shared" si="579"/>
        <v>Off</v>
      </c>
      <c r="R3332" t="str">
        <f t="shared" si="579"/>
        <v>Off</v>
      </c>
      <c r="S3332" t="str">
        <f t="shared" si="579"/>
        <v>Off</v>
      </c>
      <c r="T3332" t="str">
        <f t="shared" si="579"/>
        <v>Off</v>
      </c>
      <c r="U3332" t="str">
        <f t="shared" si="579"/>
        <v>Off</v>
      </c>
      <c r="V3332" t="str">
        <f t="shared" si="580"/>
        <v>Off</v>
      </c>
      <c r="W3332" t="str">
        <f t="shared" si="580"/>
        <v>Off</v>
      </c>
      <c r="X3332" t="str">
        <f t="shared" si="580"/>
        <v>Off</v>
      </c>
      <c r="Y3332" t="str">
        <f t="shared" si="580"/>
        <v>Off</v>
      </c>
      <c r="Z3332" t="str">
        <f t="shared" si="580"/>
        <v>Off</v>
      </c>
      <c r="AA3332" t="str">
        <f t="shared" si="580"/>
        <v>Off</v>
      </c>
      <c r="AB3332" t="str">
        <f t="shared" si="580"/>
        <v>Off</v>
      </c>
      <c r="AC3332" t="str">
        <f t="shared" si="580"/>
        <v>Off</v>
      </c>
      <c r="AD3332" t="str">
        <f t="shared" si="580"/>
        <v>Off</v>
      </c>
      <c r="AE3332" t="str">
        <f t="shared" si="580"/>
        <v>Off</v>
      </c>
      <c r="AF3332" t="str">
        <f t="shared" si="580"/>
        <v>Off</v>
      </c>
      <c r="AG3332" t="str">
        <f t="shared" si="580"/>
        <v>Off</v>
      </c>
    </row>
    <row r="3333" spans="1:33">
      <c r="A3333" t="s">
        <v>3294</v>
      </c>
      <c r="B3333" t="str">
        <f t="shared" si="578"/>
        <v>Off</v>
      </c>
      <c r="C3333" t="str">
        <f t="shared" si="578"/>
        <v>Off</v>
      </c>
      <c r="D3333" t="str">
        <f t="shared" si="578"/>
        <v>Off</v>
      </c>
      <c r="E3333" t="str">
        <f t="shared" si="578"/>
        <v>Off</v>
      </c>
      <c r="F3333" t="str">
        <f t="shared" si="578"/>
        <v>Off</v>
      </c>
      <c r="G3333" t="str">
        <f t="shared" si="578"/>
        <v>Off</v>
      </c>
      <c r="H3333" t="str">
        <f t="shared" si="578"/>
        <v>Off</v>
      </c>
      <c r="I3333" t="str">
        <f t="shared" si="578"/>
        <v>Off</v>
      </c>
      <c r="J3333" t="str">
        <f t="shared" si="578"/>
        <v>Off</v>
      </c>
      <c r="K3333" t="str">
        <f t="shared" si="578"/>
        <v>Off</v>
      </c>
      <c r="L3333" t="str">
        <f t="shared" si="579"/>
        <v>Off</v>
      </c>
      <c r="M3333" t="str">
        <f t="shared" si="579"/>
        <v>Off</v>
      </c>
      <c r="N3333" t="str">
        <f t="shared" si="579"/>
        <v>Off</v>
      </c>
      <c r="O3333" t="str">
        <f t="shared" si="579"/>
        <v>Off</v>
      </c>
      <c r="P3333" t="str">
        <f t="shared" si="579"/>
        <v>Off</v>
      </c>
      <c r="Q3333" t="str">
        <f t="shared" si="579"/>
        <v>Off</v>
      </c>
      <c r="R3333" t="str">
        <f t="shared" si="579"/>
        <v>Off</v>
      </c>
      <c r="S3333" t="str">
        <f t="shared" si="579"/>
        <v>Off</v>
      </c>
      <c r="T3333" t="str">
        <f t="shared" si="579"/>
        <v>Off</v>
      </c>
      <c r="U3333" t="str">
        <f t="shared" si="579"/>
        <v>Off</v>
      </c>
      <c r="V3333" t="str">
        <f t="shared" si="580"/>
        <v>Off</v>
      </c>
      <c r="W3333" t="str">
        <f t="shared" si="580"/>
        <v>Off</v>
      </c>
      <c r="X3333" t="str">
        <f t="shared" si="580"/>
        <v>Off</v>
      </c>
      <c r="Y3333" t="str">
        <f t="shared" si="580"/>
        <v>Off</v>
      </c>
      <c r="Z3333" t="str">
        <f t="shared" si="580"/>
        <v>Off</v>
      </c>
      <c r="AA3333" t="str">
        <f t="shared" si="580"/>
        <v>Off</v>
      </c>
      <c r="AB3333" t="str">
        <f t="shared" si="580"/>
        <v>Off</v>
      </c>
      <c r="AC3333" t="str">
        <f t="shared" si="580"/>
        <v>Off</v>
      </c>
      <c r="AD3333" t="str">
        <f t="shared" si="580"/>
        <v>Off</v>
      </c>
      <c r="AE3333" t="str">
        <f t="shared" si="580"/>
        <v>Off</v>
      </c>
      <c r="AF3333" t="str">
        <f t="shared" si="580"/>
        <v>Off</v>
      </c>
      <c r="AG3333" t="str">
        <f t="shared" si="580"/>
        <v>Off</v>
      </c>
    </row>
    <row r="3334" spans="1:33">
      <c r="A3334" t="s">
        <v>3295</v>
      </c>
      <c r="B3334" t="str">
        <f t="shared" si="578"/>
        <v>Off</v>
      </c>
      <c r="C3334" t="str">
        <f t="shared" si="578"/>
        <v>Off</v>
      </c>
      <c r="D3334" t="str">
        <f t="shared" si="578"/>
        <v>Off</v>
      </c>
      <c r="E3334" t="str">
        <f t="shared" si="578"/>
        <v>Off</v>
      </c>
      <c r="F3334" t="str">
        <f t="shared" si="578"/>
        <v>Off</v>
      </c>
      <c r="G3334" t="str">
        <f t="shared" si="578"/>
        <v>Off</v>
      </c>
      <c r="H3334" t="str">
        <f t="shared" si="578"/>
        <v>Off</v>
      </c>
      <c r="I3334" t="str">
        <f t="shared" si="578"/>
        <v>Off</v>
      </c>
      <c r="J3334" t="str">
        <f t="shared" si="578"/>
        <v>Off</v>
      </c>
      <c r="K3334" t="str">
        <f t="shared" si="578"/>
        <v>Off</v>
      </c>
      <c r="L3334" t="str">
        <f t="shared" si="579"/>
        <v>Off</v>
      </c>
      <c r="M3334" t="str">
        <f t="shared" si="579"/>
        <v>Off</v>
      </c>
      <c r="N3334" t="str">
        <f t="shared" si="579"/>
        <v>Off</v>
      </c>
      <c r="O3334" t="str">
        <f t="shared" si="579"/>
        <v>Off</v>
      </c>
      <c r="P3334" t="str">
        <f t="shared" si="579"/>
        <v>Off</v>
      </c>
      <c r="Q3334" t="str">
        <f t="shared" si="579"/>
        <v>Off</v>
      </c>
      <c r="R3334" t="str">
        <f t="shared" si="579"/>
        <v>Off</v>
      </c>
      <c r="S3334" t="str">
        <f t="shared" si="579"/>
        <v>Off</v>
      </c>
      <c r="T3334" t="str">
        <f t="shared" si="579"/>
        <v>Off</v>
      </c>
      <c r="U3334" t="str">
        <f t="shared" si="579"/>
        <v>Off</v>
      </c>
      <c r="V3334" t="str">
        <f t="shared" si="580"/>
        <v>Off</v>
      </c>
      <c r="W3334" t="str">
        <f t="shared" si="580"/>
        <v>Off</v>
      </c>
      <c r="X3334" t="str">
        <f t="shared" si="580"/>
        <v>Off</v>
      </c>
      <c r="Y3334" t="str">
        <f t="shared" si="580"/>
        <v>Off</v>
      </c>
      <c r="Z3334" t="str">
        <f t="shared" si="580"/>
        <v>Off</v>
      </c>
      <c r="AA3334" t="str">
        <f t="shared" si="580"/>
        <v>Off</v>
      </c>
      <c r="AB3334" t="str">
        <f t="shared" si="580"/>
        <v>Off</v>
      </c>
      <c r="AC3334" t="str">
        <f t="shared" si="580"/>
        <v>Off</v>
      </c>
      <c r="AD3334" t="str">
        <f t="shared" si="580"/>
        <v>Off</v>
      </c>
      <c r="AE3334" t="str">
        <f t="shared" si="580"/>
        <v>Off</v>
      </c>
      <c r="AF3334" t="str">
        <f t="shared" si="580"/>
        <v>Off</v>
      </c>
      <c r="AG3334" t="str">
        <f t="shared" si="580"/>
        <v>Off</v>
      </c>
    </row>
    <row r="3335" spans="1:33">
      <c r="A3335" t="s">
        <v>3296</v>
      </c>
      <c r="B3335" t="str">
        <f t="shared" si="578"/>
        <v>Off</v>
      </c>
      <c r="C3335" t="str">
        <f t="shared" si="578"/>
        <v>Off</v>
      </c>
      <c r="D3335" t="str">
        <f t="shared" si="578"/>
        <v>Off</v>
      </c>
      <c r="E3335" t="str">
        <f t="shared" si="578"/>
        <v>Off</v>
      </c>
      <c r="F3335" t="str">
        <f t="shared" si="578"/>
        <v>Off</v>
      </c>
      <c r="G3335" t="str">
        <f t="shared" si="578"/>
        <v>Off</v>
      </c>
      <c r="H3335" t="str">
        <f t="shared" si="578"/>
        <v>Off</v>
      </c>
      <c r="I3335" t="str">
        <f t="shared" si="578"/>
        <v>Off</v>
      </c>
      <c r="J3335" t="str">
        <f t="shared" si="578"/>
        <v>Off</v>
      </c>
      <c r="K3335" t="str">
        <f t="shared" si="578"/>
        <v>Off</v>
      </c>
      <c r="L3335" t="str">
        <f t="shared" si="579"/>
        <v>Off</v>
      </c>
      <c r="M3335" t="str">
        <f t="shared" si="579"/>
        <v>Off</v>
      </c>
      <c r="N3335" t="str">
        <f t="shared" si="579"/>
        <v>Off</v>
      </c>
      <c r="O3335" t="str">
        <f t="shared" si="579"/>
        <v>Off</v>
      </c>
      <c r="P3335" t="str">
        <f t="shared" si="579"/>
        <v>Off</v>
      </c>
      <c r="Q3335" t="str">
        <f t="shared" si="579"/>
        <v>Off</v>
      </c>
      <c r="R3335" t="str">
        <f t="shared" si="579"/>
        <v>Off</v>
      </c>
      <c r="S3335" t="str">
        <f t="shared" si="579"/>
        <v>Off</v>
      </c>
      <c r="T3335" t="str">
        <f t="shared" si="579"/>
        <v>Off</v>
      </c>
      <c r="U3335" t="str">
        <f t="shared" si="579"/>
        <v>Off</v>
      </c>
      <c r="V3335" t="str">
        <f t="shared" si="580"/>
        <v>Off</v>
      </c>
      <c r="W3335" t="str">
        <f t="shared" si="580"/>
        <v>Off</v>
      </c>
      <c r="X3335" t="str">
        <f t="shared" si="580"/>
        <v>Off</v>
      </c>
      <c r="Y3335" t="str">
        <f t="shared" si="580"/>
        <v>Off</v>
      </c>
      <c r="Z3335" t="str">
        <f t="shared" si="580"/>
        <v>Off</v>
      </c>
      <c r="AA3335" t="str">
        <f t="shared" si="580"/>
        <v>Off</v>
      </c>
      <c r="AB3335" t="str">
        <f t="shared" si="580"/>
        <v>Off</v>
      </c>
      <c r="AC3335" t="str">
        <f t="shared" si="580"/>
        <v>Off</v>
      </c>
      <c r="AD3335" t="str">
        <f t="shared" si="580"/>
        <v>Off</v>
      </c>
      <c r="AE3335" t="str">
        <f t="shared" si="580"/>
        <v>Off</v>
      </c>
      <c r="AF3335" t="str">
        <f t="shared" si="580"/>
        <v>Off</v>
      </c>
      <c r="AG3335" t="str">
        <f t="shared" si="580"/>
        <v>Off</v>
      </c>
    </row>
    <row r="3336" spans="1:33">
      <c r="A3336" t="s">
        <v>3297</v>
      </c>
      <c r="B3336" t="str">
        <f t="shared" si="578"/>
        <v>Off</v>
      </c>
      <c r="C3336" t="str">
        <f t="shared" si="578"/>
        <v>Off</v>
      </c>
      <c r="D3336" t="str">
        <f t="shared" si="578"/>
        <v>Off</v>
      </c>
      <c r="E3336" t="str">
        <f t="shared" si="578"/>
        <v>Off</v>
      </c>
      <c r="F3336" t="str">
        <f t="shared" si="578"/>
        <v>Off</v>
      </c>
      <c r="G3336" t="str">
        <f t="shared" si="578"/>
        <v>Off</v>
      </c>
      <c r="H3336" t="str">
        <f t="shared" si="578"/>
        <v>Off</v>
      </c>
      <c r="I3336" t="str">
        <f t="shared" si="578"/>
        <v>Off</v>
      </c>
      <c r="J3336" t="str">
        <f t="shared" si="578"/>
        <v>Off</v>
      </c>
      <c r="K3336" t="str">
        <f t="shared" si="578"/>
        <v>Off</v>
      </c>
      <c r="L3336" t="str">
        <f t="shared" si="579"/>
        <v>Off</v>
      </c>
      <c r="M3336" t="str">
        <f t="shared" si="579"/>
        <v>Off</v>
      </c>
      <c r="N3336" t="str">
        <f t="shared" si="579"/>
        <v>Off</v>
      </c>
      <c r="O3336" t="str">
        <f t="shared" si="579"/>
        <v>Off</v>
      </c>
      <c r="P3336" t="str">
        <f t="shared" si="579"/>
        <v>Off</v>
      </c>
      <c r="Q3336" t="str">
        <f t="shared" si="579"/>
        <v>Off</v>
      </c>
      <c r="R3336" t="str">
        <f t="shared" si="579"/>
        <v>Off</v>
      </c>
      <c r="S3336" t="str">
        <f t="shared" si="579"/>
        <v>Off</v>
      </c>
      <c r="T3336" t="str">
        <f t="shared" si="579"/>
        <v>Off</v>
      </c>
      <c r="U3336" t="str">
        <f t="shared" si="579"/>
        <v>Off</v>
      </c>
      <c r="V3336" t="str">
        <f t="shared" si="580"/>
        <v>Off</v>
      </c>
      <c r="W3336" t="str">
        <f t="shared" si="580"/>
        <v>Off</v>
      </c>
      <c r="X3336" t="str">
        <f t="shared" si="580"/>
        <v>Off</v>
      </c>
      <c r="Y3336" t="str">
        <f t="shared" si="580"/>
        <v>Off</v>
      </c>
      <c r="Z3336" t="str">
        <f t="shared" si="580"/>
        <v>Off</v>
      </c>
      <c r="AA3336" t="str">
        <f t="shared" si="580"/>
        <v>Off</v>
      </c>
      <c r="AB3336" t="str">
        <f t="shared" si="580"/>
        <v>Off</v>
      </c>
      <c r="AC3336" t="str">
        <f t="shared" si="580"/>
        <v>Off</v>
      </c>
      <c r="AD3336" t="str">
        <f t="shared" si="580"/>
        <v>Off</v>
      </c>
      <c r="AE3336" t="str">
        <f t="shared" si="580"/>
        <v>Off</v>
      </c>
      <c r="AF3336" t="str">
        <f t="shared" si="580"/>
        <v>Off</v>
      </c>
      <c r="AG3336" t="str">
        <f t="shared" si="580"/>
        <v>Off</v>
      </c>
    </row>
    <row r="3337" spans="1:33">
      <c r="A3337" t="s">
        <v>3298</v>
      </c>
      <c r="B3337" t="str">
        <f t="shared" ref="B3337:K3342" si="581">"Off"</f>
        <v>Off</v>
      </c>
      <c r="C3337" t="str">
        <f t="shared" si="581"/>
        <v>Off</v>
      </c>
      <c r="D3337" t="str">
        <f t="shared" si="581"/>
        <v>Off</v>
      </c>
      <c r="E3337" t="str">
        <f t="shared" si="581"/>
        <v>Off</v>
      </c>
      <c r="F3337" t="str">
        <f t="shared" si="581"/>
        <v>Off</v>
      </c>
      <c r="G3337" t="str">
        <f t="shared" si="581"/>
        <v>Off</v>
      </c>
      <c r="H3337" t="str">
        <f t="shared" si="581"/>
        <v>Off</v>
      </c>
      <c r="I3337" t="str">
        <f t="shared" si="581"/>
        <v>Off</v>
      </c>
      <c r="J3337" t="str">
        <f t="shared" si="581"/>
        <v>Off</v>
      </c>
      <c r="K3337" t="str">
        <f t="shared" si="581"/>
        <v>Off</v>
      </c>
      <c r="L3337" t="str">
        <f t="shared" ref="L3337:U3342" si="582">"Off"</f>
        <v>Off</v>
      </c>
      <c r="M3337" t="str">
        <f t="shared" si="582"/>
        <v>Off</v>
      </c>
      <c r="N3337" t="str">
        <f t="shared" si="582"/>
        <v>Off</v>
      </c>
      <c r="O3337" t="str">
        <f t="shared" si="582"/>
        <v>Off</v>
      </c>
      <c r="P3337" t="str">
        <f t="shared" si="582"/>
        <v>Off</v>
      </c>
      <c r="Q3337" t="str">
        <f t="shared" si="582"/>
        <v>Off</v>
      </c>
      <c r="R3337" t="str">
        <f t="shared" si="582"/>
        <v>Off</v>
      </c>
      <c r="S3337" t="str">
        <f t="shared" si="582"/>
        <v>Off</v>
      </c>
      <c r="T3337" t="str">
        <f t="shared" si="582"/>
        <v>Off</v>
      </c>
      <c r="U3337" t="str">
        <f t="shared" si="582"/>
        <v>Off</v>
      </c>
      <c r="V3337" t="str">
        <f t="shared" ref="V3337:AG3342" si="583">"Off"</f>
        <v>Off</v>
      </c>
      <c r="W3337" t="str">
        <f t="shared" si="583"/>
        <v>Off</v>
      </c>
      <c r="X3337" t="str">
        <f t="shared" si="583"/>
        <v>Off</v>
      </c>
      <c r="Y3337" t="str">
        <f t="shared" si="583"/>
        <v>Off</v>
      </c>
      <c r="Z3337" t="str">
        <f t="shared" si="583"/>
        <v>Off</v>
      </c>
      <c r="AA3337" t="str">
        <f t="shared" si="583"/>
        <v>Off</v>
      </c>
      <c r="AB3337" t="str">
        <f t="shared" si="583"/>
        <v>Off</v>
      </c>
      <c r="AC3337" t="str">
        <f t="shared" si="583"/>
        <v>Off</v>
      </c>
      <c r="AD3337" t="str">
        <f t="shared" si="583"/>
        <v>Off</v>
      </c>
      <c r="AE3337" t="str">
        <f t="shared" si="583"/>
        <v>Off</v>
      </c>
      <c r="AF3337" t="str">
        <f t="shared" si="583"/>
        <v>Off</v>
      </c>
      <c r="AG3337" t="str">
        <f t="shared" si="583"/>
        <v>Off</v>
      </c>
    </row>
    <row r="3338" spans="1:33">
      <c r="A3338" t="s">
        <v>3299</v>
      </c>
      <c r="B3338" t="str">
        <f t="shared" si="581"/>
        <v>Off</v>
      </c>
      <c r="C3338" t="str">
        <f t="shared" si="581"/>
        <v>Off</v>
      </c>
      <c r="D3338" t="str">
        <f t="shared" si="581"/>
        <v>Off</v>
      </c>
      <c r="E3338" t="str">
        <f t="shared" si="581"/>
        <v>Off</v>
      </c>
      <c r="F3338" t="str">
        <f t="shared" si="581"/>
        <v>Off</v>
      </c>
      <c r="G3338" t="str">
        <f t="shared" si="581"/>
        <v>Off</v>
      </c>
      <c r="H3338" t="str">
        <f t="shared" si="581"/>
        <v>Off</v>
      </c>
      <c r="I3338" t="str">
        <f t="shared" si="581"/>
        <v>Off</v>
      </c>
      <c r="J3338" t="str">
        <f t="shared" si="581"/>
        <v>Off</v>
      </c>
      <c r="K3338" t="str">
        <f t="shared" si="581"/>
        <v>Off</v>
      </c>
      <c r="L3338" t="str">
        <f t="shared" si="582"/>
        <v>Off</v>
      </c>
      <c r="M3338" t="str">
        <f t="shared" si="582"/>
        <v>Off</v>
      </c>
      <c r="N3338" t="str">
        <f t="shared" si="582"/>
        <v>Off</v>
      </c>
      <c r="O3338" t="str">
        <f t="shared" si="582"/>
        <v>Off</v>
      </c>
      <c r="P3338" t="str">
        <f t="shared" si="582"/>
        <v>Off</v>
      </c>
      <c r="Q3338" t="str">
        <f t="shared" si="582"/>
        <v>Off</v>
      </c>
      <c r="R3338" t="str">
        <f t="shared" si="582"/>
        <v>Off</v>
      </c>
      <c r="S3338" t="str">
        <f t="shared" si="582"/>
        <v>Off</v>
      </c>
      <c r="T3338" t="str">
        <f t="shared" si="582"/>
        <v>Off</v>
      </c>
      <c r="U3338" t="str">
        <f t="shared" si="582"/>
        <v>Off</v>
      </c>
      <c r="V3338" t="str">
        <f t="shared" si="583"/>
        <v>Off</v>
      </c>
      <c r="W3338" t="str">
        <f t="shared" si="583"/>
        <v>Off</v>
      </c>
      <c r="X3338" t="str">
        <f t="shared" si="583"/>
        <v>Off</v>
      </c>
      <c r="Y3338" t="str">
        <f t="shared" si="583"/>
        <v>Off</v>
      </c>
      <c r="Z3338" t="str">
        <f t="shared" si="583"/>
        <v>Off</v>
      </c>
      <c r="AA3338" t="str">
        <f t="shared" si="583"/>
        <v>Off</v>
      </c>
      <c r="AB3338" t="str">
        <f t="shared" si="583"/>
        <v>Off</v>
      </c>
      <c r="AC3338" t="str">
        <f t="shared" si="583"/>
        <v>Off</v>
      </c>
      <c r="AD3338" t="str">
        <f t="shared" si="583"/>
        <v>Off</v>
      </c>
      <c r="AE3338" t="str">
        <f t="shared" si="583"/>
        <v>Off</v>
      </c>
      <c r="AF3338" t="str">
        <f t="shared" si="583"/>
        <v>Off</v>
      </c>
      <c r="AG3338" t="str">
        <f t="shared" si="583"/>
        <v>Off</v>
      </c>
    </row>
    <row r="3339" spans="1:33">
      <c r="A3339" t="s">
        <v>3300</v>
      </c>
      <c r="B3339" t="str">
        <f t="shared" si="581"/>
        <v>Off</v>
      </c>
      <c r="C3339" t="str">
        <f t="shared" si="581"/>
        <v>Off</v>
      </c>
      <c r="D3339" t="str">
        <f t="shared" si="581"/>
        <v>Off</v>
      </c>
      <c r="E3339" t="str">
        <f t="shared" si="581"/>
        <v>Off</v>
      </c>
      <c r="F3339" t="str">
        <f t="shared" si="581"/>
        <v>Off</v>
      </c>
      <c r="G3339" t="str">
        <f t="shared" si="581"/>
        <v>Off</v>
      </c>
      <c r="H3339" t="str">
        <f t="shared" si="581"/>
        <v>Off</v>
      </c>
      <c r="I3339" t="str">
        <f t="shared" si="581"/>
        <v>Off</v>
      </c>
      <c r="J3339" t="str">
        <f t="shared" si="581"/>
        <v>Off</v>
      </c>
      <c r="K3339" t="str">
        <f t="shared" si="581"/>
        <v>Off</v>
      </c>
      <c r="L3339" t="str">
        <f t="shared" si="582"/>
        <v>Off</v>
      </c>
      <c r="M3339" t="str">
        <f t="shared" si="582"/>
        <v>Off</v>
      </c>
      <c r="N3339" t="str">
        <f t="shared" si="582"/>
        <v>Off</v>
      </c>
      <c r="O3339" t="str">
        <f t="shared" si="582"/>
        <v>Off</v>
      </c>
      <c r="P3339" t="str">
        <f t="shared" si="582"/>
        <v>Off</v>
      </c>
      <c r="Q3339" t="str">
        <f t="shared" si="582"/>
        <v>Off</v>
      </c>
      <c r="R3339" t="str">
        <f t="shared" si="582"/>
        <v>Off</v>
      </c>
      <c r="S3339" t="str">
        <f t="shared" si="582"/>
        <v>Off</v>
      </c>
      <c r="T3339" t="str">
        <f t="shared" si="582"/>
        <v>Off</v>
      </c>
      <c r="U3339" t="str">
        <f t="shared" si="582"/>
        <v>Off</v>
      </c>
      <c r="V3339" t="str">
        <f t="shared" si="583"/>
        <v>Off</v>
      </c>
      <c r="W3339" t="str">
        <f t="shared" si="583"/>
        <v>Off</v>
      </c>
      <c r="X3339" t="str">
        <f t="shared" si="583"/>
        <v>Off</v>
      </c>
      <c r="Y3339" t="str">
        <f t="shared" si="583"/>
        <v>Off</v>
      </c>
      <c r="Z3339" t="str">
        <f t="shared" si="583"/>
        <v>Off</v>
      </c>
      <c r="AA3339" t="str">
        <f t="shared" si="583"/>
        <v>Off</v>
      </c>
      <c r="AB3339" t="str">
        <f t="shared" si="583"/>
        <v>Off</v>
      </c>
      <c r="AC3339" t="str">
        <f t="shared" si="583"/>
        <v>Off</v>
      </c>
      <c r="AD3339" t="str">
        <f t="shared" si="583"/>
        <v>Off</v>
      </c>
      <c r="AE3339" t="str">
        <f t="shared" si="583"/>
        <v>Off</v>
      </c>
      <c r="AF3339" t="str">
        <f t="shared" si="583"/>
        <v>Off</v>
      </c>
      <c r="AG3339" t="str">
        <f t="shared" si="583"/>
        <v>Off</v>
      </c>
    </row>
    <row r="3340" spans="1:33">
      <c r="A3340" t="s">
        <v>3301</v>
      </c>
      <c r="B3340" t="str">
        <f t="shared" si="581"/>
        <v>Off</v>
      </c>
      <c r="C3340" t="str">
        <f t="shared" si="581"/>
        <v>Off</v>
      </c>
      <c r="D3340" t="str">
        <f t="shared" si="581"/>
        <v>Off</v>
      </c>
      <c r="E3340" t="str">
        <f t="shared" si="581"/>
        <v>Off</v>
      </c>
      <c r="F3340" t="str">
        <f t="shared" si="581"/>
        <v>Off</v>
      </c>
      <c r="G3340" t="str">
        <f t="shared" si="581"/>
        <v>Off</v>
      </c>
      <c r="H3340" t="str">
        <f t="shared" si="581"/>
        <v>Off</v>
      </c>
      <c r="I3340" t="str">
        <f t="shared" si="581"/>
        <v>Off</v>
      </c>
      <c r="J3340" t="str">
        <f t="shared" si="581"/>
        <v>Off</v>
      </c>
      <c r="K3340" t="str">
        <f t="shared" si="581"/>
        <v>Off</v>
      </c>
      <c r="L3340" t="str">
        <f t="shared" si="582"/>
        <v>Off</v>
      </c>
      <c r="M3340" t="str">
        <f t="shared" si="582"/>
        <v>Off</v>
      </c>
      <c r="N3340" t="str">
        <f t="shared" si="582"/>
        <v>Off</v>
      </c>
      <c r="O3340" t="str">
        <f t="shared" si="582"/>
        <v>Off</v>
      </c>
      <c r="P3340" t="str">
        <f t="shared" si="582"/>
        <v>Off</v>
      </c>
      <c r="Q3340" t="str">
        <f t="shared" si="582"/>
        <v>Off</v>
      </c>
      <c r="R3340" t="str">
        <f t="shared" si="582"/>
        <v>Off</v>
      </c>
      <c r="S3340" t="str">
        <f t="shared" si="582"/>
        <v>Off</v>
      </c>
      <c r="T3340" t="str">
        <f t="shared" si="582"/>
        <v>Off</v>
      </c>
      <c r="U3340" t="str">
        <f t="shared" si="582"/>
        <v>Off</v>
      </c>
      <c r="V3340" t="str">
        <f t="shared" si="583"/>
        <v>Off</v>
      </c>
      <c r="W3340" t="str">
        <f t="shared" si="583"/>
        <v>Off</v>
      </c>
      <c r="X3340" t="str">
        <f t="shared" si="583"/>
        <v>Off</v>
      </c>
      <c r="Y3340" t="str">
        <f t="shared" si="583"/>
        <v>Off</v>
      </c>
      <c r="Z3340" t="str">
        <f t="shared" si="583"/>
        <v>Off</v>
      </c>
      <c r="AA3340" t="str">
        <f t="shared" si="583"/>
        <v>Off</v>
      </c>
      <c r="AB3340" t="str">
        <f t="shared" si="583"/>
        <v>Off</v>
      </c>
      <c r="AC3340" t="str">
        <f t="shared" si="583"/>
        <v>Off</v>
      </c>
      <c r="AD3340" t="str">
        <f t="shared" si="583"/>
        <v>Off</v>
      </c>
      <c r="AE3340" t="str">
        <f t="shared" si="583"/>
        <v>Off</v>
      </c>
      <c r="AF3340" t="str">
        <f t="shared" si="583"/>
        <v>Off</v>
      </c>
      <c r="AG3340" t="str">
        <f t="shared" si="583"/>
        <v>Off</v>
      </c>
    </row>
    <row r="3341" spans="1:33">
      <c r="A3341" t="s">
        <v>3302</v>
      </c>
      <c r="B3341" t="str">
        <f t="shared" si="581"/>
        <v>Off</v>
      </c>
      <c r="C3341" t="str">
        <f t="shared" si="581"/>
        <v>Off</v>
      </c>
      <c r="D3341" t="str">
        <f t="shared" si="581"/>
        <v>Off</v>
      </c>
      <c r="E3341" t="str">
        <f t="shared" si="581"/>
        <v>Off</v>
      </c>
      <c r="F3341" t="str">
        <f t="shared" si="581"/>
        <v>Off</v>
      </c>
      <c r="G3341" t="str">
        <f t="shared" si="581"/>
        <v>Off</v>
      </c>
      <c r="H3341" t="str">
        <f t="shared" si="581"/>
        <v>Off</v>
      </c>
      <c r="I3341" t="str">
        <f t="shared" si="581"/>
        <v>Off</v>
      </c>
      <c r="J3341" t="str">
        <f t="shared" si="581"/>
        <v>Off</v>
      </c>
      <c r="K3341" t="str">
        <f t="shared" si="581"/>
        <v>Off</v>
      </c>
      <c r="L3341" t="str">
        <f t="shared" si="582"/>
        <v>Off</v>
      </c>
      <c r="M3341" t="str">
        <f t="shared" si="582"/>
        <v>Off</v>
      </c>
      <c r="N3341" t="str">
        <f t="shared" si="582"/>
        <v>Off</v>
      </c>
      <c r="O3341" t="str">
        <f t="shared" si="582"/>
        <v>Off</v>
      </c>
      <c r="P3341" t="str">
        <f t="shared" si="582"/>
        <v>Off</v>
      </c>
      <c r="Q3341" t="str">
        <f t="shared" si="582"/>
        <v>Off</v>
      </c>
      <c r="R3341" t="str">
        <f t="shared" si="582"/>
        <v>Off</v>
      </c>
      <c r="S3341" t="str">
        <f t="shared" si="582"/>
        <v>Off</v>
      </c>
      <c r="T3341" t="str">
        <f t="shared" si="582"/>
        <v>Off</v>
      </c>
      <c r="U3341" t="str">
        <f t="shared" si="582"/>
        <v>Off</v>
      </c>
      <c r="V3341" t="str">
        <f t="shared" si="583"/>
        <v>Off</v>
      </c>
      <c r="W3341" t="str">
        <f t="shared" si="583"/>
        <v>Off</v>
      </c>
      <c r="X3341" t="str">
        <f t="shared" si="583"/>
        <v>Off</v>
      </c>
      <c r="Y3341" t="str">
        <f t="shared" si="583"/>
        <v>Off</v>
      </c>
      <c r="Z3341" t="str">
        <f t="shared" si="583"/>
        <v>Off</v>
      </c>
      <c r="AA3341" t="str">
        <f t="shared" si="583"/>
        <v>Off</v>
      </c>
      <c r="AB3341" t="str">
        <f t="shared" si="583"/>
        <v>Off</v>
      </c>
      <c r="AC3341" t="str">
        <f t="shared" si="583"/>
        <v>Off</v>
      </c>
      <c r="AD3341" t="str">
        <f t="shared" si="583"/>
        <v>Off</v>
      </c>
      <c r="AE3341" t="str">
        <f t="shared" si="583"/>
        <v>Off</v>
      </c>
      <c r="AF3341" t="str">
        <f t="shared" si="583"/>
        <v>Off</v>
      </c>
      <c r="AG3341" t="str">
        <f t="shared" si="583"/>
        <v>Off</v>
      </c>
    </row>
    <row r="3342" spans="1:33">
      <c r="A3342" t="s">
        <v>3303</v>
      </c>
      <c r="B3342" t="str">
        <f t="shared" si="581"/>
        <v>Off</v>
      </c>
      <c r="C3342" t="str">
        <f t="shared" si="581"/>
        <v>Off</v>
      </c>
      <c r="D3342" t="str">
        <f t="shared" si="581"/>
        <v>Off</v>
      </c>
      <c r="E3342" t="str">
        <f t="shared" si="581"/>
        <v>Off</v>
      </c>
      <c r="F3342" t="str">
        <f t="shared" si="581"/>
        <v>Off</v>
      </c>
      <c r="G3342" t="str">
        <f t="shared" si="581"/>
        <v>Off</v>
      </c>
      <c r="H3342" t="str">
        <f t="shared" si="581"/>
        <v>Off</v>
      </c>
      <c r="I3342" t="str">
        <f t="shared" si="581"/>
        <v>Off</v>
      </c>
      <c r="J3342" t="str">
        <f t="shared" si="581"/>
        <v>Off</v>
      </c>
      <c r="K3342" t="str">
        <f t="shared" si="581"/>
        <v>Off</v>
      </c>
      <c r="L3342" t="str">
        <f t="shared" si="582"/>
        <v>Off</v>
      </c>
      <c r="M3342" t="str">
        <f t="shared" si="582"/>
        <v>Off</v>
      </c>
      <c r="N3342" t="str">
        <f t="shared" si="582"/>
        <v>Off</v>
      </c>
      <c r="O3342" t="str">
        <f t="shared" si="582"/>
        <v>Off</v>
      </c>
      <c r="P3342" t="str">
        <f t="shared" si="582"/>
        <v>Off</v>
      </c>
      <c r="Q3342" t="str">
        <f t="shared" si="582"/>
        <v>Off</v>
      </c>
      <c r="R3342" t="str">
        <f t="shared" si="582"/>
        <v>Off</v>
      </c>
      <c r="S3342" t="str">
        <f t="shared" si="582"/>
        <v>Off</v>
      </c>
      <c r="T3342" t="str">
        <f t="shared" si="582"/>
        <v>Off</v>
      </c>
      <c r="U3342" t="str">
        <f t="shared" si="582"/>
        <v>Off</v>
      </c>
      <c r="V3342" t="str">
        <f t="shared" si="583"/>
        <v>Off</v>
      </c>
      <c r="W3342" t="str">
        <f t="shared" si="583"/>
        <v>Off</v>
      </c>
      <c r="X3342" t="str">
        <f t="shared" si="583"/>
        <v>Off</v>
      </c>
      <c r="Y3342" t="str">
        <f t="shared" si="583"/>
        <v>Off</v>
      </c>
      <c r="Z3342" t="str">
        <f t="shared" si="583"/>
        <v>Off</v>
      </c>
      <c r="AA3342" t="str">
        <f t="shared" si="583"/>
        <v>Off</v>
      </c>
      <c r="AB3342" t="str">
        <f t="shared" si="583"/>
        <v>Off</v>
      </c>
      <c r="AC3342" t="str">
        <f t="shared" si="583"/>
        <v>Off</v>
      </c>
      <c r="AD3342" t="str">
        <f t="shared" si="583"/>
        <v>Off</v>
      </c>
      <c r="AE3342" t="str">
        <f t="shared" si="583"/>
        <v>Off</v>
      </c>
      <c r="AF3342" t="str">
        <f t="shared" si="583"/>
        <v>Off</v>
      </c>
      <c r="AG3342" t="str">
        <f t="shared" si="583"/>
        <v>Off</v>
      </c>
    </row>
    <row r="3343" spans="1:33">
      <c r="A3343" t="s">
        <v>3304</v>
      </c>
      <c r="B3343">
        <v>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</row>
    <row r="3344" spans="1:33">
      <c r="A3344" t="s">
        <v>3305</v>
      </c>
      <c r="B3344">
        <v>0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</row>
    <row r="3345" spans="1:33">
      <c r="A3345" t="s">
        <v>3306</v>
      </c>
      <c r="B3345" t="str">
        <f t="shared" ref="B3345:K3354" si="584">"Off"</f>
        <v>Off</v>
      </c>
      <c r="C3345" t="str">
        <f t="shared" si="584"/>
        <v>Off</v>
      </c>
      <c r="D3345" t="str">
        <f t="shared" si="584"/>
        <v>Off</v>
      </c>
      <c r="E3345" t="str">
        <f t="shared" si="584"/>
        <v>Off</v>
      </c>
      <c r="F3345" t="str">
        <f t="shared" si="584"/>
        <v>Off</v>
      </c>
      <c r="G3345" t="str">
        <f t="shared" si="584"/>
        <v>Off</v>
      </c>
      <c r="H3345" t="str">
        <f t="shared" si="584"/>
        <v>Off</v>
      </c>
      <c r="I3345" t="str">
        <f t="shared" si="584"/>
        <v>Off</v>
      </c>
      <c r="J3345" t="str">
        <f t="shared" si="584"/>
        <v>Off</v>
      </c>
      <c r="K3345" t="str">
        <f t="shared" si="584"/>
        <v>Off</v>
      </c>
      <c r="L3345" t="str">
        <f t="shared" ref="L3345:U3354" si="585">"Off"</f>
        <v>Off</v>
      </c>
      <c r="M3345" t="str">
        <f t="shared" si="585"/>
        <v>Off</v>
      </c>
      <c r="N3345" t="str">
        <f t="shared" si="585"/>
        <v>Off</v>
      </c>
      <c r="O3345" t="str">
        <f t="shared" si="585"/>
        <v>Off</v>
      </c>
      <c r="P3345" t="str">
        <f t="shared" si="585"/>
        <v>Off</v>
      </c>
      <c r="Q3345" t="str">
        <f t="shared" si="585"/>
        <v>Off</v>
      </c>
      <c r="R3345" t="str">
        <f t="shared" si="585"/>
        <v>Off</v>
      </c>
      <c r="S3345" t="str">
        <f t="shared" si="585"/>
        <v>Off</v>
      </c>
      <c r="T3345" t="str">
        <f t="shared" si="585"/>
        <v>Off</v>
      </c>
      <c r="U3345" t="str">
        <f t="shared" si="585"/>
        <v>Off</v>
      </c>
      <c r="V3345" t="str">
        <f t="shared" ref="V3345:AG3354" si="586">"Off"</f>
        <v>Off</v>
      </c>
      <c r="W3345" t="str">
        <f t="shared" si="586"/>
        <v>Off</v>
      </c>
      <c r="X3345" t="str">
        <f t="shared" si="586"/>
        <v>Off</v>
      </c>
      <c r="Y3345" t="str">
        <f t="shared" si="586"/>
        <v>Off</v>
      </c>
      <c r="Z3345" t="str">
        <f t="shared" si="586"/>
        <v>Off</v>
      </c>
      <c r="AA3345" t="str">
        <f t="shared" si="586"/>
        <v>Off</v>
      </c>
      <c r="AB3345" t="str">
        <f t="shared" si="586"/>
        <v>Off</v>
      </c>
      <c r="AC3345" t="str">
        <f t="shared" si="586"/>
        <v>Off</v>
      </c>
      <c r="AD3345" t="str">
        <f t="shared" si="586"/>
        <v>Off</v>
      </c>
      <c r="AE3345" t="str">
        <f t="shared" si="586"/>
        <v>Off</v>
      </c>
      <c r="AF3345" t="str">
        <f t="shared" si="586"/>
        <v>Off</v>
      </c>
      <c r="AG3345" t="str">
        <f t="shared" si="586"/>
        <v>Off</v>
      </c>
    </row>
    <row r="3346" spans="1:33">
      <c r="A3346" t="s">
        <v>3307</v>
      </c>
      <c r="B3346" t="str">
        <f t="shared" si="584"/>
        <v>Off</v>
      </c>
      <c r="C3346" t="str">
        <f t="shared" si="584"/>
        <v>Off</v>
      </c>
      <c r="D3346" t="str">
        <f t="shared" si="584"/>
        <v>Off</v>
      </c>
      <c r="E3346" t="str">
        <f t="shared" si="584"/>
        <v>Off</v>
      </c>
      <c r="F3346" t="str">
        <f t="shared" si="584"/>
        <v>Off</v>
      </c>
      <c r="G3346" t="str">
        <f t="shared" si="584"/>
        <v>Off</v>
      </c>
      <c r="H3346" t="str">
        <f t="shared" si="584"/>
        <v>Off</v>
      </c>
      <c r="I3346" t="str">
        <f t="shared" si="584"/>
        <v>Off</v>
      </c>
      <c r="J3346" t="str">
        <f t="shared" si="584"/>
        <v>Off</v>
      </c>
      <c r="K3346" t="str">
        <f t="shared" si="584"/>
        <v>Off</v>
      </c>
      <c r="L3346" t="str">
        <f t="shared" si="585"/>
        <v>Off</v>
      </c>
      <c r="M3346" t="str">
        <f t="shared" si="585"/>
        <v>Off</v>
      </c>
      <c r="N3346" t="str">
        <f t="shared" si="585"/>
        <v>Off</v>
      </c>
      <c r="O3346" t="str">
        <f t="shared" si="585"/>
        <v>Off</v>
      </c>
      <c r="P3346" t="str">
        <f t="shared" si="585"/>
        <v>Off</v>
      </c>
      <c r="Q3346" t="str">
        <f t="shared" si="585"/>
        <v>Off</v>
      </c>
      <c r="R3346" t="str">
        <f t="shared" si="585"/>
        <v>Off</v>
      </c>
      <c r="S3346" t="str">
        <f t="shared" si="585"/>
        <v>Off</v>
      </c>
      <c r="T3346" t="str">
        <f t="shared" si="585"/>
        <v>Off</v>
      </c>
      <c r="U3346" t="str">
        <f t="shared" si="585"/>
        <v>Off</v>
      </c>
      <c r="V3346" t="str">
        <f t="shared" si="586"/>
        <v>Off</v>
      </c>
      <c r="W3346" t="str">
        <f t="shared" si="586"/>
        <v>Off</v>
      </c>
      <c r="X3346" t="str">
        <f t="shared" si="586"/>
        <v>Off</v>
      </c>
      <c r="Y3346" t="str">
        <f t="shared" si="586"/>
        <v>Off</v>
      </c>
      <c r="Z3346" t="str">
        <f t="shared" si="586"/>
        <v>Off</v>
      </c>
      <c r="AA3346" t="str">
        <f t="shared" si="586"/>
        <v>Off</v>
      </c>
      <c r="AB3346" t="str">
        <f t="shared" si="586"/>
        <v>Off</v>
      </c>
      <c r="AC3346" t="str">
        <f t="shared" si="586"/>
        <v>Off</v>
      </c>
      <c r="AD3346" t="str">
        <f t="shared" si="586"/>
        <v>Off</v>
      </c>
      <c r="AE3346" t="str">
        <f t="shared" si="586"/>
        <v>Off</v>
      </c>
      <c r="AF3346" t="str">
        <f t="shared" si="586"/>
        <v>Off</v>
      </c>
      <c r="AG3346" t="str">
        <f t="shared" si="586"/>
        <v>Off</v>
      </c>
    </row>
    <row r="3347" spans="1:33">
      <c r="A3347" t="s">
        <v>3308</v>
      </c>
      <c r="B3347" t="str">
        <f t="shared" si="584"/>
        <v>Off</v>
      </c>
      <c r="C3347" t="str">
        <f t="shared" si="584"/>
        <v>Off</v>
      </c>
      <c r="D3347" t="str">
        <f t="shared" si="584"/>
        <v>Off</v>
      </c>
      <c r="E3347" t="str">
        <f t="shared" si="584"/>
        <v>Off</v>
      </c>
      <c r="F3347" t="str">
        <f t="shared" si="584"/>
        <v>Off</v>
      </c>
      <c r="G3347" t="str">
        <f t="shared" si="584"/>
        <v>Off</v>
      </c>
      <c r="H3347" t="str">
        <f t="shared" si="584"/>
        <v>Off</v>
      </c>
      <c r="I3347" t="str">
        <f t="shared" si="584"/>
        <v>Off</v>
      </c>
      <c r="J3347" t="str">
        <f t="shared" si="584"/>
        <v>Off</v>
      </c>
      <c r="K3347" t="str">
        <f t="shared" si="584"/>
        <v>Off</v>
      </c>
      <c r="L3347" t="str">
        <f t="shared" si="585"/>
        <v>Off</v>
      </c>
      <c r="M3347" t="str">
        <f t="shared" si="585"/>
        <v>Off</v>
      </c>
      <c r="N3347" t="str">
        <f t="shared" si="585"/>
        <v>Off</v>
      </c>
      <c r="O3347" t="str">
        <f t="shared" si="585"/>
        <v>Off</v>
      </c>
      <c r="P3347" t="str">
        <f t="shared" si="585"/>
        <v>Off</v>
      </c>
      <c r="Q3347" t="str">
        <f t="shared" si="585"/>
        <v>Off</v>
      </c>
      <c r="R3347" t="str">
        <f t="shared" si="585"/>
        <v>Off</v>
      </c>
      <c r="S3347" t="str">
        <f t="shared" si="585"/>
        <v>Off</v>
      </c>
      <c r="T3347" t="str">
        <f t="shared" si="585"/>
        <v>Off</v>
      </c>
      <c r="U3347" t="str">
        <f t="shared" si="585"/>
        <v>Off</v>
      </c>
      <c r="V3347" t="str">
        <f t="shared" si="586"/>
        <v>Off</v>
      </c>
      <c r="W3347" t="str">
        <f t="shared" si="586"/>
        <v>Off</v>
      </c>
      <c r="X3347" t="str">
        <f t="shared" si="586"/>
        <v>Off</v>
      </c>
      <c r="Y3347" t="str">
        <f t="shared" si="586"/>
        <v>Off</v>
      </c>
      <c r="Z3347" t="str">
        <f t="shared" si="586"/>
        <v>Off</v>
      </c>
      <c r="AA3347" t="str">
        <f t="shared" si="586"/>
        <v>Off</v>
      </c>
      <c r="AB3347" t="str">
        <f t="shared" si="586"/>
        <v>Off</v>
      </c>
      <c r="AC3347" t="str">
        <f t="shared" si="586"/>
        <v>Off</v>
      </c>
      <c r="AD3347" t="str">
        <f t="shared" si="586"/>
        <v>Off</v>
      </c>
      <c r="AE3347" t="str">
        <f t="shared" si="586"/>
        <v>Off</v>
      </c>
      <c r="AF3347" t="str">
        <f t="shared" si="586"/>
        <v>Off</v>
      </c>
      <c r="AG3347" t="str">
        <f t="shared" si="586"/>
        <v>Off</v>
      </c>
    </row>
    <row r="3348" spans="1:33">
      <c r="A3348" t="s">
        <v>3309</v>
      </c>
      <c r="B3348" t="str">
        <f t="shared" si="584"/>
        <v>Off</v>
      </c>
      <c r="C3348" t="str">
        <f t="shared" si="584"/>
        <v>Off</v>
      </c>
      <c r="D3348" t="str">
        <f t="shared" si="584"/>
        <v>Off</v>
      </c>
      <c r="E3348" t="str">
        <f t="shared" si="584"/>
        <v>Off</v>
      </c>
      <c r="F3348" t="str">
        <f t="shared" si="584"/>
        <v>Off</v>
      </c>
      <c r="G3348" t="str">
        <f t="shared" si="584"/>
        <v>Off</v>
      </c>
      <c r="H3348" t="str">
        <f t="shared" si="584"/>
        <v>Off</v>
      </c>
      <c r="I3348" t="str">
        <f t="shared" si="584"/>
        <v>Off</v>
      </c>
      <c r="J3348" t="str">
        <f t="shared" si="584"/>
        <v>Off</v>
      </c>
      <c r="K3348" t="str">
        <f t="shared" si="584"/>
        <v>Off</v>
      </c>
      <c r="L3348" t="str">
        <f t="shared" si="585"/>
        <v>Off</v>
      </c>
      <c r="M3348" t="str">
        <f t="shared" si="585"/>
        <v>Off</v>
      </c>
      <c r="N3348" t="str">
        <f t="shared" si="585"/>
        <v>Off</v>
      </c>
      <c r="O3348" t="str">
        <f t="shared" si="585"/>
        <v>Off</v>
      </c>
      <c r="P3348" t="str">
        <f t="shared" si="585"/>
        <v>Off</v>
      </c>
      <c r="Q3348" t="str">
        <f t="shared" si="585"/>
        <v>Off</v>
      </c>
      <c r="R3348" t="str">
        <f t="shared" si="585"/>
        <v>Off</v>
      </c>
      <c r="S3348" t="str">
        <f t="shared" si="585"/>
        <v>Off</v>
      </c>
      <c r="T3348" t="str">
        <f t="shared" si="585"/>
        <v>Off</v>
      </c>
      <c r="U3348" t="str">
        <f t="shared" si="585"/>
        <v>Off</v>
      </c>
      <c r="V3348" t="str">
        <f t="shared" si="586"/>
        <v>Off</v>
      </c>
      <c r="W3348" t="str">
        <f t="shared" si="586"/>
        <v>Off</v>
      </c>
      <c r="X3348" t="str">
        <f t="shared" si="586"/>
        <v>Off</v>
      </c>
      <c r="Y3348" t="str">
        <f t="shared" si="586"/>
        <v>Off</v>
      </c>
      <c r="Z3348" t="str">
        <f t="shared" si="586"/>
        <v>Off</v>
      </c>
      <c r="AA3348" t="str">
        <f t="shared" si="586"/>
        <v>Off</v>
      </c>
      <c r="AB3348" t="str">
        <f t="shared" si="586"/>
        <v>Off</v>
      </c>
      <c r="AC3348" t="str">
        <f t="shared" si="586"/>
        <v>Off</v>
      </c>
      <c r="AD3348" t="str">
        <f t="shared" si="586"/>
        <v>Off</v>
      </c>
      <c r="AE3348" t="str">
        <f t="shared" si="586"/>
        <v>Off</v>
      </c>
      <c r="AF3348" t="str">
        <f t="shared" si="586"/>
        <v>Off</v>
      </c>
      <c r="AG3348" t="str">
        <f t="shared" si="586"/>
        <v>Off</v>
      </c>
    </row>
    <row r="3349" spans="1:33">
      <c r="A3349" t="s">
        <v>3310</v>
      </c>
      <c r="B3349" t="str">
        <f t="shared" si="584"/>
        <v>Off</v>
      </c>
      <c r="C3349" t="str">
        <f t="shared" si="584"/>
        <v>Off</v>
      </c>
      <c r="D3349" t="str">
        <f t="shared" si="584"/>
        <v>Off</v>
      </c>
      <c r="E3349" t="str">
        <f t="shared" si="584"/>
        <v>Off</v>
      </c>
      <c r="F3349" t="str">
        <f t="shared" si="584"/>
        <v>Off</v>
      </c>
      <c r="G3349" t="str">
        <f t="shared" si="584"/>
        <v>Off</v>
      </c>
      <c r="H3349" t="str">
        <f t="shared" si="584"/>
        <v>Off</v>
      </c>
      <c r="I3349" t="str">
        <f t="shared" si="584"/>
        <v>Off</v>
      </c>
      <c r="J3349" t="str">
        <f t="shared" si="584"/>
        <v>Off</v>
      </c>
      <c r="K3349" t="str">
        <f t="shared" si="584"/>
        <v>Off</v>
      </c>
      <c r="L3349" t="str">
        <f t="shared" si="585"/>
        <v>Off</v>
      </c>
      <c r="M3349" t="str">
        <f t="shared" si="585"/>
        <v>Off</v>
      </c>
      <c r="N3349" t="str">
        <f t="shared" si="585"/>
        <v>Off</v>
      </c>
      <c r="O3349" t="str">
        <f t="shared" si="585"/>
        <v>Off</v>
      </c>
      <c r="P3349" t="str">
        <f t="shared" si="585"/>
        <v>Off</v>
      </c>
      <c r="Q3349" t="str">
        <f t="shared" si="585"/>
        <v>Off</v>
      </c>
      <c r="R3349" t="str">
        <f t="shared" si="585"/>
        <v>Off</v>
      </c>
      <c r="S3349" t="str">
        <f t="shared" si="585"/>
        <v>Off</v>
      </c>
      <c r="T3349" t="str">
        <f t="shared" si="585"/>
        <v>Off</v>
      </c>
      <c r="U3349" t="str">
        <f t="shared" si="585"/>
        <v>Off</v>
      </c>
      <c r="V3349" t="str">
        <f t="shared" si="586"/>
        <v>Off</v>
      </c>
      <c r="W3349" t="str">
        <f t="shared" si="586"/>
        <v>Off</v>
      </c>
      <c r="X3349" t="str">
        <f t="shared" si="586"/>
        <v>Off</v>
      </c>
      <c r="Y3349" t="str">
        <f t="shared" si="586"/>
        <v>Off</v>
      </c>
      <c r="Z3349" t="str">
        <f t="shared" si="586"/>
        <v>Off</v>
      </c>
      <c r="AA3349" t="str">
        <f t="shared" si="586"/>
        <v>Off</v>
      </c>
      <c r="AB3349" t="str">
        <f t="shared" si="586"/>
        <v>Off</v>
      </c>
      <c r="AC3349" t="str">
        <f t="shared" si="586"/>
        <v>Off</v>
      </c>
      <c r="AD3349" t="str">
        <f t="shared" si="586"/>
        <v>Off</v>
      </c>
      <c r="AE3349" t="str">
        <f t="shared" si="586"/>
        <v>Off</v>
      </c>
      <c r="AF3349" t="str">
        <f t="shared" si="586"/>
        <v>Off</v>
      </c>
      <c r="AG3349" t="str">
        <f t="shared" si="586"/>
        <v>Off</v>
      </c>
    </row>
    <row r="3350" spans="1:33">
      <c r="A3350" t="s">
        <v>3311</v>
      </c>
      <c r="B3350" t="str">
        <f t="shared" si="584"/>
        <v>Off</v>
      </c>
      <c r="C3350" t="str">
        <f t="shared" si="584"/>
        <v>Off</v>
      </c>
      <c r="D3350" t="str">
        <f t="shared" si="584"/>
        <v>Off</v>
      </c>
      <c r="E3350" t="str">
        <f t="shared" si="584"/>
        <v>Off</v>
      </c>
      <c r="F3350" t="str">
        <f t="shared" si="584"/>
        <v>Off</v>
      </c>
      <c r="G3350" t="str">
        <f t="shared" si="584"/>
        <v>Off</v>
      </c>
      <c r="H3350" t="str">
        <f t="shared" si="584"/>
        <v>Off</v>
      </c>
      <c r="I3350" t="str">
        <f t="shared" si="584"/>
        <v>Off</v>
      </c>
      <c r="J3350" t="str">
        <f t="shared" si="584"/>
        <v>Off</v>
      </c>
      <c r="K3350" t="str">
        <f t="shared" si="584"/>
        <v>Off</v>
      </c>
      <c r="L3350" t="str">
        <f t="shared" si="585"/>
        <v>Off</v>
      </c>
      <c r="M3350" t="str">
        <f t="shared" si="585"/>
        <v>Off</v>
      </c>
      <c r="N3350" t="str">
        <f t="shared" si="585"/>
        <v>Off</v>
      </c>
      <c r="O3350" t="str">
        <f t="shared" si="585"/>
        <v>Off</v>
      </c>
      <c r="P3350" t="str">
        <f t="shared" si="585"/>
        <v>Off</v>
      </c>
      <c r="Q3350" t="str">
        <f t="shared" si="585"/>
        <v>Off</v>
      </c>
      <c r="R3350" t="str">
        <f t="shared" si="585"/>
        <v>Off</v>
      </c>
      <c r="S3350" t="str">
        <f t="shared" si="585"/>
        <v>Off</v>
      </c>
      <c r="T3350" t="str">
        <f t="shared" si="585"/>
        <v>Off</v>
      </c>
      <c r="U3350" t="str">
        <f t="shared" si="585"/>
        <v>Off</v>
      </c>
      <c r="V3350" t="str">
        <f t="shared" si="586"/>
        <v>Off</v>
      </c>
      <c r="W3350" t="str">
        <f t="shared" si="586"/>
        <v>Off</v>
      </c>
      <c r="X3350" t="str">
        <f t="shared" si="586"/>
        <v>Off</v>
      </c>
      <c r="Y3350" t="str">
        <f t="shared" si="586"/>
        <v>Off</v>
      </c>
      <c r="Z3350" t="str">
        <f t="shared" si="586"/>
        <v>Off</v>
      </c>
      <c r="AA3350" t="str">
        <f t="shared" si="586"/>
        <v>Off</v>
      </c>
      <c r="AB3350" t="str">
        <f t="shared" si="586"/>
        <v>Off</v>
      </c>
      <c r="AC3350" t="str">
        <f t="shared" si="586"/>
        <v>Off</v>
      </c>
      <c r="AD3350" t="str">
        <f t="shared" si="586"/>
        <v>Off</v>
      </c>
      <c r="AE3350" t="str">
        <f t="shared" si="586"/>
        <v>Off</v>
      </c>
      <c r="AF3350" t="str">
        <f t="shared" si="586"/>
        <v>Off</v>
      </c>
      <c r="AG3350" t="str">
        <f t="shared" si="586"/>
        <v>Off</v>
      </c>
    </row>
    <row r="3351" spans="1:33">
      <c r="A3351" t="s">
        <v>3312</v>
      </c>
      <c r="B3351" t="str">
        <f t="shared" si="584"/>
        <v>Off</v>
      </c>
      <c r="C3351" t="str">
        <f t="shared" si="584"/>
        <v>Off</v>
      </c>
      <c r="D3351" t="str">
        <f t="shared" si="584"/>
        <v>Off</v>
      </c>
      <c r="E3351" t="str">
        <f t="shared" si="584"/>
        <v>Off</v>
      </c>
      <c r="F3351" t="str">
        <f t="shared" si="584"/>
        <v>Off</v>
      </c>
      <c r="G3351" t="str">
        <f t="shared" si="584"/>
        <v>Off</v>
      </c>
      <c r="H3351" t="str">
        <f t="shared" si="584"/>
        <v>Off</v>
      </c>
      <c r="I3351" t="str">
        <f t="shared" si="584"/>
        <v>Off</v>
      </c>
      <c r="J3351" t="str">
        <f t="shared" si="584"/>
        <v>Off</v>
      </c>
      <c r="K3351" t="str">
        <f t="shared" si="584"/>
        <v>Off</v>
      </c>
      <c r="L3351" t="str">
        <f t="shared" si="585"/>
        <v>Off</v>
      </c>
      <c r="M3351" t="str">
        <f t="shared" si="585"/>
        <v>Off</v>
      </c>
      <c r="N3351" t="str">
        <f t="shared" si="585"/>
        <v>Off</v>
      </c>
      <c r="O3351" t="str">
        <f t="shared" si="585"/>
        <v>Off</v>
      </c>
      <c r="P3351" t="str">
        <f t="shared" si="585"/>
        <v>Off</v>
      </c>
      <c r="Q3351" t="str">
        <f t="shared" si="585"/>
        <v>Off</v>
      </c>
      <c r="R3351" t="str">
        <f t="shared" si="585"/>
        <v>Off</v>
      </c>
      <c r="S3351" t="str">
        <f t="shared" si="585"/>
        <v>Off</v>
      </c>
      <c r="T3351" t="str">
        <f t="shared" si="585"/>
        <v>Off</v>
      </c>
      <c r="U3351" t="str">
        <f t="shared" si="585"/>
        <v>Off</v>
      </c>
      <c r="V3351" t="str">
        <f t="shared" si="586"/>
        <v>Off</v>
      </c>
      <c r="W3351" t="str">
        <f t="shared" si="586"/>
        <v>Off</v>
      </c>
      <c r="X3351" t="str">
        <f t="shared" si="586"/>
        <v>Off</v>
      </c>
      <c r="Y3351" t="str">
        <f t="shared" si="586"/>
        <v>Off</v>
      </c>
      <c r="Z3351" t="str">
        <f t="shared" si="586"/>
        <v>Off</v>
      </c>
      <c r="AA3351" t="str">
        <f t="shared" si="586"/>
        <v>Off</v>
      </c>
      <c r="AB3351" t="str">
        <f t="shared" si="586"/>
        <v>Off</v>
      </c>
      <c r="AC3351" t="str">
        <f t="shared" si="586"/>
        <v>Off</v>
      </c>
      <c r="AD3351" t="str">
        <f t="shared" si="586"/>
        <v>Off</v>
      </c>
      <c r="AE3351" t="str">
        <f t="shared" si="586"/>
        <v>Off</v>
      </c>
      <c r="AF3351" t="str">
        <f t="shared" si="586"/>
        <v>Off</v>
      </c>
      <c r="AG3351" t="str">
        <f t="shared" si="586"/>
        <v>Off</v>
      </c>
    </row>
    <row r="3352" spans="1:33">
      <c r="A3352" t="s">
        <v>3313</v>
      </c>
      <c r="B3352" t="str">
        <f t="shared" si="584"/>
        <v>Off</v>
      </c>
      <c r="C3352" t="str">
        <f t="shared" si="584"/>
        <v>Off</v>
      </c>
      <c r="D3352" t="str">
        <f t="shared" si="584"/>
        <v>Off</v>
      </c>
      <c r="E3352" t="str">
        <f t="shared" si="584"/>
        <v>Off</v>
      </c>
      <c r="F3352" t="str">
        <f t="shared" si="584"/>
        <v>Off</v>
      </c>
      <c r="G3352" t="str">
        <f t="shared" si="584"/>
        <v>Off</v>
      </c>
      <c r="H3352" t="str">
        <f t="shared" si="584"/>
        <v>Off</v>
      </c>
      <c r="I3352" t="str">
        <f t="shared" si="584"/>
        <v>Off</v>
      </c>
      <c r="J3352" t="str">
        <f t="shared" si="584"/>
        <v>Off</v>
      </c>
      <c r="K3352" t="str">
        <f t="shared" si="584"/>
        <v>Off</v>
      </c>
      <c r="L3352" t="str">
        <f t="shared" si="585"/>
        <v>Off</v>
      </c>
      <c r="M3352" t="str">
        <f t="shared" si="585"/>
        <v>Off</v>
      </c>
      <c r="N3352" t="str">
        <f t="shared" si="585"/>
        <v>Off</v>
      </c>
      <c r="O3352" t="str">
        <f t="shared" si="585"/>
        <v>Off</v>
      </c>
      <c r="P3352" t="str">
        <f t="shared" si="585"/>
        <v>Off</v>
      </c>
      <c r="Q3352" t="str">
        <f t="shared" si="585"/>
        <v>Off</v>
      </c>
      <c r="R3352" t="str">
        <f t="shared" si="585"/>
        <v>Off</v>
      </c>
      <c r="S3352" t="str">
        <f t="shared" si="585"/>
        <v>Off</v>
      </c>
      <c r="T3352" t="str">
        <f t="shared" si="585"/>
        <v>Off</v>
      </c>
      <c r="U3352" t="str">
        <f t="shared" si="585"/>
        <v>Off</v>
      </c>
      <c r="V3352" t="str">
        <f t="shared" si="586"/>
        <v>Off</v>
      </c>
      <c r="W3352" t="str">
        <f t="shared" si="586"/>
        <v>Off</v>
      </c>
      <c r="X3352" t="str">
        <f t="shared" si="586"/>
        <v>Off</v>
      </c>
      <c r="Y3352" t="str">
        <f t="shared" si="586"/>
        <v>Off</v>
      </c>
      <c r="Z3352" t="str">
        <f t="shared" si="586"/>
        <v>Off</v>
      </c>
      <c r="AA3352" t="str">
        <f t="shared" si="586"/>
        <v>Off</v>
      </c>
      <c r="AB3352" t="str">
        <f t="shared" si="586"/>
        <v>Off</v>
      </c>
      <c r="AC3352" t="str">
        <f t="shared" si="586"/>
        <v>Off</v>
      </c>
      <c r="AD3352" t="str">
        <f t="shared" si="586"/>
        <v>Off</v>
      </c>
      <c r="AE3352" t="str">
        <f t="shared" si="586"/>
        <v>Off</v>
      </c>
      <c r="AF3352" t="str">
        <f t="shared" si="586"/>
        <v>Off</v>
      </c>
      <c r="AG3352" t="str">
        <f t="shared" si="586"/>
        <v>Off</v>
      </c>
    </row>
    <row r="3353" spans="1:33">
      <c r="A3353" t="s">
        <v>3314</v>
      </c>
      <c r="B3353" t="str">
        <f t="shared" si="584"/>
        <v>Off</v>
      </c>
      <c r="C3353" t="str">
        <f t="shared" si="584"/>
        <v>Off</v>
      </c>
      <c r="D3353" t="str">
        <f t="shared" si="584"/>
        <v>Off</v>
      </c>
      <c r="E3353" t="str">
        <f t="shared" si="584"/>
        <v>Off</v>
      </c>
      <c r="F3353" t="str">
        <f t="shared" si="584"/>
        <v>Off</v>
      </c>
      <c r="G3353" t="str">
        <f t="shared" si="584"/>
        <v>Off</v>
      </c>
      <c r="H3353" t="str">
        <f t="shared" si="584"/>
        <v>Off</v>
      </c>
      <c r="I3353" t="str">
        <f t="shared" si="584"/>
        <v>Off</v>
      </c>
      <c r="J3353" t="str">
        <f t="shared" si="584"/>
        <v>Off</v>
      </c>
      <c r="K3353" t="str">
        <f t="shared" si="584"/>
        <v>Off</v>
      </c>
      <c r="L3353" t="str">
        <f t="shared" si="585"/>
        <v>Off</v>
      </c>
      <c r="M3353" t="str">
        <f t="shared" si="585"/>
        <v>Off</v>
      </c>
      <c r="N3353" t="str">
        <f t="shared" si="585"/>
        <v>Off</v>
      </c>
      <c r="O3353" t="str">
        <f t="shared" si="585"/>
        <v>Off</v>
      </c>
      <c r="P3353" t="str">
        <f t="shared" si="585"/>
        <v>Off</v>
      </c>
      <c r="Q3353" t="str">
        <f t="shared" si="585"/>
        <v>Off</v>
      </c>
      <c r="R3353" t="str">
        <f t="shared" si="585"/>
        <v>Off</v>
      </c>
      <c r="S3353" t="str">
        <f t="shared" si="585"/>
        <v>Off</v>
      </c>
      <c r="T3353" t="str">
        <f t="shared" si="585"/>
        <v>Off</v>
      </c>
      <c r="U3353" t="str">
        <f t="shared" si="585"/>
        <v>Off</v>
      </c>
      <c r="V3353" t="str">
        <f t="shared" si="586"/>
        <v>Off</v>
      </c>
      <c r="W3353" t="str">
        <f t="shared" si="586"/>
        <v>Off</v>
      </c>
      <c r="X3353" t="str">
        <f t="shared" si="586"/>
        <v>Off</v>
      </c>
      <c r="Y3353" t="str">
        <f t="shared" si="586"/>
        <v>Off</v>
      </c>
      <c r="Z3353" t="str">
        <f t="shared" si="586"/>
        <v>Off</v>
      </c>
      <c r="AA3353" t="str">
        <f t="shared" si="586"/>
        <v>Off</v>
      </c>
      <c r="AB3353" t="str">
        <f t="shared" si="586"/>
        <v>Off</v>
      </c>
      <c r="AC3353" t="str">
        <f t="shared" si="586"/>
        <v>Off</v>
      </c>
      <c r="AD3353" t="str">
        <f t="shared" si="586"/>
        <v>Off</v>
      </c>
      <c r="AE3353" t="str">
        <f t="shared" si="586"/>
        <v>Off</v>
      </c>
      <c r="AF3353" t="str">
        <f t="shared" si="586"/>
        <v>Off</v>
      </c>
      <c r="AG3353" t="str">
        <f t="shared" si="586"/>
        <v>Off</v>
      </c>
    </row>
    <row r="3354" spans="1:33">
      <c r="A3354" t="s">
        <v>3315</v>
      </c>
      <c r="B3354" t="str">
        <f t="shared" si="584"/>
        <v>Off</v>
      </c>
      <c r="C3354" t="str">
        <f t="shared" si="584"/>
        <v>Off</v>
      </c>
      <c r="D3354" t="str">
        <f t="shared" si="584"/>
        <v>Off</v>
      </c>
      <c r="E3354" t="str">
        <f t="shared" si="584"/>
        <v>Off</v>
      </c>
      <c r="F3354" t="str">
        <f t="shared" si="584"/>
        <v>Off</v>
      </c>
      <c r="G3354" t="str">
        <f t="shared" si="584"/>
        <v>Off</v>
      </c>
      <c r="H3354" t="str">
        <f t="shared" si="584"/>
        <v>Off</v>
      </c>
      <c r="I3354" t="str">
        <f t="shared" si="584"/>
        <v>Off</v>
      </c>
      <c r="J3354" t="str">
        <f t="shared" si="584"/>
        <v>Off</v>
      </c>
      <c r="K3354" t="str">
        <f t="shared" si="584"/>
        <v>Off</v>
      </c>
      <c r="L3354" t="str">
        <f t="shared" si="585"/>
        <v>Off</v>
      </c>
      <c r="M3354" t="str">
        <f t="shared" si="585"/>
        <v>Off</v>
      </c>
      <c r="N3354" t="str">
        <f t="shared" si="585"/>
        <v>Off</v>
      </c>
      <c r="O3354" t="str">
        <f t="shared" si="585"/>
        <v>Off</v>
      </c>
      <c r="P3354" t="str">
        <f t="shared" si="585"/>
        <v>Off</v>
      </c>
      <c r="Q3354" t="str">
        <f t="shared" si="585"/>
        <v>Off</v>
      </c>
      <c r="R3354" t="str">
        <f t="shared" si="585"/>
        <v>Off</v>
      </c>
      <c r="S3354" t="str">
        <f t="shared" si="585"/>
        <v>Off</v>
      </c>
      <c r="T3354" t="str">
        <f t="shared" si="585"/>
        <v>Off</v>
      </c>
      <c r="U3354" t="str">
        <f t="shared" si="585"/>
        <v>Off</v>
      </c>
      <c r="V3354" t="str">
        <f t="shared" si="586"/>
        <v>Off</v>
      </c>
      <c r="W3354" t="str">
        <f t="shared" si="586"/>
        <v>Off</v>
      </c>
      <c r="X3354" t="str">
        <f t="shared" si="586"/>
        <v>Off</v>
      </c>
      <c r="Y3354" t="str">
        <f t="shared" si="586"/>
        <v>Off</v>
      </c>
      <c r="Z3354" t="str">
        <f t="shared" si="586"/>
        <v>Off</v>
      </c>
      <c r="AA3354" t="str">
        <f t="shared" si="586"/>
        <v>Off</v>
      </c>
      <c r="AB3354" t="str">
        <f t="shared" si="586"/>
        <v>Off</v>
      </c>
      <c r="AC3354" t="str">
        <f t="shared" si="586"/>
        <v>Off</v>
      </c>
      <c r="AD3354" t="str">
        <f t="shared" si="586"/>
        <v>Off</v>
      </c>
      <c r="AE3354" t="str">
        <f t="shared" si="586"/>
        <v>Off</v>
      </c>
      <c r="AF3354" t="str">
        <f t="shared" si="586"/>
        <v>Off</v>
      </c>
      <c r="AG3354" t="str">
        <f t="shared" si="586"/>
        <v>Off</v>
      </c>
    </row>
    <row r="3355" spans="1:33">
      <c r="A3355" t="s">
        <v>3316</v>
      </c>
      <c r="B3355" t="str">
        <f t="shared" ref="B3355:K3360" si="587">"Off"</f>
        <v>Off</v>
      </c>
      <c r="C3355" t="str">
        <f t="shared" si="587"/>
        <v>Off</v>
      </c>
      <c r="D3355" t="str">
        <f t="shared" si="587"/>
        <v>Off</v>
      </c>
      <c r="E3355" t="str">
        <f t="shared" si="587"/>
        <v>Off</v>
      </c>
      <c r="F3355" t="str">
        <f t="shared" si="587"/>
        <v>Off</v>
      </c>
      <c r="G3355" t="str">
        <f t="shared" si="587"/>
        <v>Off</v>
      </c>
      <c r="H3355" t="str">
        <f t="shared" si="587"/>
        <v>Off</v>
      </c>
      <c r="I3355" t="str">
        <f t="shared" si="587"/>
        <v>Off</v>
      </c>
      <c r="J3355" t="str">
        <f t="shared" si="587"/>
        <v>Off</v>
      </c>
      <c r="K3355" t="str">
        <f t="shared" si="587"/>
        <v>Off</v>
      </c>
      <c r="L3355" t="str">
        <f t="shared" ref="L3355:U3360" si="588">"Off"</f>
        <v>Off</v>
      </c>
      <c r="M3355" t="str">
        <f t="shared" si="588"/>
        <v>Off</v>
      </c>
      <c r="N3355" t="str">
        <f t="shared" si="588"/>
        <v>Off</v>
      </c>
      <c r="O3355" t="str">
        <f t="shared" si="588"/>
        <v>Off</v>
      </c>
      <c r="P3355" t="str">
        <f t="shared" si="588"/>
        <v>Off</v>
      </c>
      <c r="Q3355" t="str">
        <f t="shared" si="588"/>
        <v>Off</v>
      </c>
      <c r="R3355" t="str">
        <f t="shared" si="588"/>
        <v>Off</v>
      </c>
      <c r="S3355" t="str">
        <f t="shared" si="588"/>
        <v>Off</v>
      </c>
      <c r="T3355" t="str">
        <f t="shared" si="588"/>
        <v>Off</v>
      </c>
      <c r="U3355" t="str">
        <f t="shared" si="588"/>
        <v>Off</v>
      </c>
      <c r="V3355" t="str">
        <f t="shared" ref="V3355:AG3360" si="589">"Off"</f>
        <v>Off</v>
      </c>
      <c r="W3355" t="str">
        <f t="shared" si="589"/>
        <v>Off</v>
      </c>
      <c r="X3355" t="str">
        <f t="shared" si="589"/>
        <v>Off</v>
      </c>
      <c r="Y3355" t="str">
        <f t="shared" si="589"/>
        <v>Off</v>
      </c>
      <c r="Z3355" t="str">
        <f t="shared" si="589"/>
        <v>Off</v>
      </c>
      <c r="AA3355" t="str">
        <f t="shared" si="589"/>
        <v>Off</v>
      </c>
      <c r="AB3355" t="str">
        <f t="shared" si="589"/>
        <v>Off</v>
      </c>
      <c r="AC3355" t="str">
        <f t="shared" si="589"/>
        <v>Off</v>
      </c>
      <c r="AD3355" t="str">
        <f t="shared" si="589"/>
        <v>Off</v>
      </c>
      <c r="AE3355" t="str">
        <f t="shared" si="589"/>
        <v>Off</v>
      </c>
      <c r="AF3355" t="str">
        <f t="shared" si="589"/>
        <v>Off</v>
      </c>
      <c r="AG3355" t="str">
        <f t="shared" si="589"/>
        <v>Off</v>
      </c>
    </row>
    <row r="3356" spans="1:33">
      <c r="A3356" t="s">
        <v>3317</v>
      </c>
      <c r="B3356" t="str">
        <f t="shared" si="587"/>
        <v>Off</v>
      </c>
      <c r="C3356" t="str">
        <f t="shared" si="587"/>
        <v>Off</v>
      </c>
      <c r="D3356" t="str">
        <f t="shared" si="587"/>
        <v>Off</v>
      </c>
      <c r="E3356" t="str">
        <f t="shared" si="587"/>
        <v>Off</v>
      </c>
      <c r="F3356" t="str">
        <f t="shared" si="587"/>
        <v>Off</v>
      </c>
      <c r="G3356" t="str">
        <f t="shared" si="587"/>
        <v>Off</v>
      </c>
      <c r="H3356" t="str">
        <f t="shared" si="587"/>
        <v>Off</v>
      </c>
      <c r="I3356" t="str">
        <f t="shared" si="587"/>
        <v>Off</v>
      </c>
      <c r="J3356" t="str">
        <f t="shared" si="587"/>
        <v>Off</v>
      </c>
      <c r="K3356" t="str">
        <f t="shared" si="587"/>
        <v>Off</v>
      </c>
      <c r="L3356" t="str">
        <f t="shared" si="588"/>
        <v>Off</v>
      </c>
      <c r="M3356" t="str">
        <f t="shared" si="588"/>
        <v>Off</v>
      </c>
      <c r="N3356" t="str">
        <f t="shared" si="588"/>
        <v>Off</v>
      </c>
      <c r="O3356" t="str">
        <f t="shared" si="588"/>
        <v>Off</v>
      </c>
      <c r="P3356" t="str">
        <f t="shared" si="588"/>
        <v>Off</v>
      </c>
      <c r="Q3356" t="str">
        <f t="shared" si="588"/>
        <v>Off</v>
      </c>
      <c r="R3356" t="str">
        <f t="shared" si="588"/>
        <v>Off</v>
      </c>
      <c r="S3356" t="str">
        <f t="shared" si="588"/>
        <v>Off</v>
      </c>
      <c r="T3356" t="str">
        <f t="shared" si="588"/>
        <v>Off</v>
      </c>
      <c r="U3356" t="str">
        <f t="shared" si="588"/>
        <v>Off</v>
      </c>
      <c r="V3356" t="str">
        <f t="shared" si="589"/>
        <v>Off</v>
      </c>
      <c r="W3356" t="str">
        <f t="shared" si="589"/>
        <v>Off</v>
      </c>
      <c r="X3356" t="str">
        <f t="shared" si="589"/>
        <v>Off</v>
      </c>
      <c r="Y3356" t="str">
        <f t="shared" si="589"/>
        <v>Off</v>
      </c>
      <c r="Z3356" t="str">
        <f t="shared" si="589"/>
        <v>Off</v>
      </c>
      <c r="AA3356" t="str">
        <f t="shared" si="589"/>
        <v>Off</v>
      </c>
      <c r="AB3356" t="str">
        <f t="shared" si="589"/>
        <v>Off</v>
      </c>
      <c r="AC3356" t="str">
        <f t="shared" si="589"/>
        <v>Off</v>
      </c>
      <c r="AD3356" t="str">
        <f t="shared" si="589"/>
        <v>Off</v>
      </c>
      <c r="AE3356" t="str">
        <f t="shared" si="589"/>
        <v>Off</v>
      </c>
      <c r="AF3356" t="str">
        <f t="shared" si="589"/>
        <v>Off</v>
      </c>
      <c r="AG3356" t="str">
        <f t="shared" si="589"/>
        <v>Off</v>
      </c>
    </row>
    <row r="3357" spans="1:33">
      <c r="A3357" t="s">
        <v>3318</v>
      </c>
      <c r="B3357" t="str">
        <f t="shared" si="587"/>
        <v>Off</v>
      </c>
      <c r="C3357" t="str">
        <f t="shared" si="587"/>
        <v>Off</v>
      </c>
      <c r="D3357" t="str">
        <f t="shared" si="587"/>
        <v>Off</v>
      </c>
      <c r="E3357" t="str">
        <f t="shared" si="587"/>
        <v>Off</v>
      </c>
      <c r="F3357" t="str">
        <f t="shared" si="587"/>
        <v>Off</v>
      </c>
      <c r="G3357" t="str">
        <f t="shared" si="587"/>
        <v>Off</v>
      </c>
      <c r="H3357" t="str">
        <f t="shared" si="587"/>
        <v>Off</v>
      </c>
      <c r="I3357" t="str">
        <f t="shared" si="587"/>
        <v>Off</v>
      </c>
      <c r="J3357" t="str">
        <f t="shared" si="587"/>
        <v>Off</v>
      </c>
      <c r="K3357" t="str">
        <f t="shared" si="587"/>
        <v>Off</v>
      </c>
      <c r="L3357" t="str">
        <f t="shared" si="588"/>
        <v>Off</v>
      </c>
      <c r="M3357" t="str">
        <f t="shared" si="588"/>
        <v>Off</v>
      </c>
      <c r="N3357" t="str">
        <f t="shared" si="588"/>
        <v>Off</v>
      </c>
      <c r="O3357" t="str">
        <f t="shared" si="588"/>
        <v>Off</v>
      </c>
      <c r="P3357" t="str">
        <f t="shared" si="588"/>
        <v>Off</v>
      </c>
      <c r="Q3357" t="str">
        <f t="shared" si="588"/>
        <v>Off</v>
      </c>
      <c r="R3357" t="str">
        <f t="shared" si="588"/>
        <v>Off</v>
      </c>
      <c r="S3357" t="str">
        <f t="shared" si="588"/>
        <v>Off</v>
      </c>
      <c r="T3357" t="str">
        <f t="shared" si="588"/>
        <v>Off</v>
      </c>
      <c r="U3357" t="str">
        <f t="shared" si="588"/>
        <v>Off</v>
      </c>
      <c r="V3357" t="str">
        <f t="shared" si="589"/>
        <v>Off</v>
      </c>
      <c r="W3357" t="str">
        <f t="shared" si="589"/>
        <v>Off</v>
      </c>
      <c r="X3357" t="str">
        <f t="shared" si="589"/>
        <v>Off</v>
      </c>
      <c r="Y3357" t="str">
        <f t="shared" si="589"/>
        <v>Off</v>
      </c>
      <c r="Z3357" t="str">
        <f t="shared" si="589"/>
        <v>Off</v>
      </c>
      <c r="AA3357" t="str">
        <f t="shared" si="589"/>
        <v>Off</v>
      </c>
      <c r="AB3357" t="str">
        <f t="shared" si="589"/>
        <v>Off</v>
      </c>
      <c r="AC3357" t="str">
        <f t="shared" si="589"/>
        <v>Off</v>
      </c>
      <c r="AD3357" t="str">
        <f t="shared" si="589"/>
        <v>Off</v>
      </c>
      <c r="AE3357" t="str">
        <f t="shared" si="589"/>
        <v>Off</v>
      </c>
      <c r="AF3357" t="str">
        <f t="shared" si="589"/>
        <v>Off</v>
      </c>
      <c r="AG3357" t="str">
        <f t="shared" si="589"/>
        <v>Off</v>
      </c>
    </row>
    <row r="3358" spans="1:33">
      <c r="A3358" t="s">
        <v>3319</v>
      </c>
      <c r="B3358" t="str">
        <f t="shared" si="587"/>
        <v>Off</v>
      </c>
      <c r="C3358" t="str">
        <f t="shared" si="587"/>
        <v>Off</v>
      </c>
      <c r="D3358" t="str">
        <f t="shared" si="587"/>
        <v>Off</v>
      </c>
      <c r="E3358" t="str">
        <f t="shared" si="587"/>
        <v>Off</v>
      </c>
      <c r="F3358" t="str">
        <f t="shared" si="587"/>
        <v>Off</v>
      </c>
      <c r="G3358" t="str">
        <f t="shared" si="587"/>
        <v>Off</v>
      </c>
      <c r="H3358" t="str">
        <f t="shared" si="587"/>
        <v>Off</v>
      </c>
      <c r="I3358" t="str">
        <f t="shared" si="587"/>
        <v>Off</v>
      </c>
      <c r="J3358" t="str">
        <f t="shared" si="587"/>
        <v>Off</v>
      </c>
      <c r="K3358" t="str">
        <f t="shared" si="587"/>
        <v>Off</v>
      </c>
      <c r="L3358" t="str">
        <f t="shared" si="588"/>
        <v>Off</v>
      </c>
      <c r="M3358" t="str">
        <f t="shared" si="588"/>
        <v>Off</v>
      </c>
      <c r="N3358" t="str">
        <f t="shared" si="588"/>
        <v>Off</v>
      </c>
      <c r="O3358" t="str">
        <f t="shared" si="588"/>
        <v>Off</v>
      </c>
      <c r="P3358" t="str">
        <f t="shared" si="588"/>
        <v>Off</v>
      </c>
      <c r="Q3358" t="str">
        <f t="shared" si="588"/>
        <v>Off</v>
      </c>
      <c r="R3358" t="str">
        <f t="shared" si="588"/>
        <v>Off</v>
      </c>
      <c r="S3358" t="str">
        <f t="shared" si="588"/>
        <v>Off</v>
      </c>
      <c r="T3358" t="str">
        <f t="shared" si="588"/>
        <v>Off</v>
      </c>
      <c r="U3358" t="str">
        <f t="shared" si="588"/>
        <v>Off</v>
      </c>
      <c r="V3358" t="str">
        <f t="shared" si="589"/>
        <v>Off</v>
      </c>
      <c r="W3358" t="str">
        <f t="shared" si="589"/>
        <v>Off</v>
      </c>
      <c r="X3358" t="str">
        <f t="shared" si="589"/>
        <v>Off</v>
      </c>
      <c r="Y3358" t="str">
        <f t="shared" si="589"/>
        <v>Off</v>
      </c>
      <c r="Z3358" t="str">
        <f t="shared" si="589"/>
        <v>Off</v>
      </c>
      <c r="AA3358" t="str">
        <f t="shared" si="589"/>
        <v>Off</v>
      </c>
      <c r="AB3358" t="str">
        <f t="shared" si="589"/>
        <v>Off</v>
      </c>
      <c r="AC3358" t="str">
        <f t="shared" si="589"/>
        <v>Off</v>
      </c>
      <c r="AD3358" t="str">
        <f t="shared" si="589"/>
        <v>Off</v>
      </c>
      <c r="AE3358" t="str">
        <f t="shared" si="589"/>
        <v>Off</v>
      </c>
      <c r="AF3358" t="str">
        <f t="shared" si="589"/>
        <v>Off</v>
      </c>
      <c r="AG3358" t="str">
        <f t="shared" si="589"/>
        <v>Off</v>
      </c>
    </row>
    <row r="3359" spans="1:33">
      <c r="A3359" t="s">
        <v>3320</v>
      </c>
      <c r="B3359" t="str">
        <f t="shared" si="587"/>
        <v>Off</v>
      </c>
      <c r="C3359" t="str">
        <f t="shared" si="587"/>
        <v>Off</v>
      </c>
      <c r="D3359" t="str">
        <f t="shared" si="587"/>
        <v>Off</v>
      </c>
      <c r="E3359" t="str">
        <f t="shared" si="587"/>
        <v>Off</v>
      </c>
      <c r="F3359" t="str">
        <f t="shared" si="587"/>
        <v>Off</v>
      </c>
      <c r="G3359" t="str">
        <f t="shared" si="587"/>
        <v>Off</v>
      </c>
      <c r="H3359" t="str">
        <f t="shared" si="587"/>
        <v>Off</v>
      </c>
      <c r="I3359" t="str">
        <f t="shared" si="587"/>
        <v>Off</v>
      </c>
      <c r="J3359" t="str">
        <f t="shared" si="587"/>
        <v>Off</v>
      </c>
      <c r="K3359" t="str">
        <f t="shared" si="587"/>
        <v>Off</v>
      </c>
      <c r="L3359" t="str">
        <f t="shared" si="588"/>
        <v>Off</v>
      </c>
      <c r="M3359" t="str">
        <f t="shared" si="588"/>
        <v>Off</v>
      </c>
      <c r="N3359" t="str">
        <f t="shared" si="588"/>
        <v>Off</v>
      </c>
      <c r="O3359" t="str">
        <f t="shared" si="588"/>
        <v>Off</v>
      </c>
      <c r="P3359" t="str">
        <f t="shared" si="588"/>
        <v>Off</v>
      </c>
      <c r="Q3359" t="str">
        <f t="shared" si="588"/>
        <v>Off</v>
      </c>
      <c r="R3359" t="str">
        <f t="shared" si="588"/>
        <v>Off</v>
      </c>
      <c r="S3359" t="str">
        <f t="shared" si="588"/>
        <v>Off</v>
      </c>
      <c r="T3359" t="str">
        <f t="shared" si="588"/>
        <v>Off</v>
      </c>
      <c r="U3359" t="str">
        <f t="shared" si="588"/>
        <v>Off</v>
      </c>
      <c r="V3359" t="str">
        <f t="shared" si="589"/>
        <v>Off</v>
      </c>
      <c r="W3359" t="str">
        <f t="shared" si="589"/>
        <v>Off</v>
      </c>
      <c r="X3359" t="str">
        <f t="shared" si="589"/>
        <v>Off</v>
      </c>
      <c r="Y3359" t="str">
        <f t="shared" si="589"/>
        <v>Off</v>
      </c>
      <c r="Z3359" t="str">
        <f t="shared" si="589"/>
        <v>Off</v>
      </c>
      <c r="AA3359" t="str">
        <f t="shared" si="589"/>
        <v>Off</v>
      </c>
      <c r="AB3359" t="str">
        <f t="shared" si="589"/>
        <v>Off</v>
      </c>
      <c r="AC3359" t="str">
        <f t="shared" si="589"/>
        <v>Off</v>
      </c>
      <c r="AD3359" t="str">
        <f t="shared" si="589"/>
        <v>Off</v>
      </c>
      <c r="AE3359" t="str">
        <f t="shared" si="589"/>
        <v>Off</v>
      </c>
      <c r="AF3359" t="str">
        <f t="shared" si="589"/>
        <v>Off</v>
      </c>
      <c r="AG3359" t="str">
        <f t="shared" si="589"/>
        <v>Off</v>
      </c>
    </row>
    <row r="3360" spans="1:33">
      <c r="A3360" t="s">
        <v>3321</v>
      </c>
      <c r="B3360" t="str">
        <f t="shared" si="587"/>
        <v>Off</v>
      </c>
      <c r="C3360" t="str">
        <f t="shared" si="587"/>
        <v>Off</v>
      </c>
      <c r="D3360" t="str">
        <f t="shared" si="587"/>
        <v>Off</v>
      </c>
      <c r="E3360" t="str">
        <f t="shared" si="587"/>
        <v>Off</v>
      </c>
      <c r="F3360" t="str">
        <f t="shared" si="587"/>
        <v>Off</v>
      </c>
      <c r="G3360" t="str">
        <f t="shared" si="587"/>
        <v>Off</v>
      </c>
      <c r="H3360" t="str">
        <f t="shared" si="587"/>
        <v>Off</v>
      </c>
      <c r="I3360" t="str">
        <f t="shared" si="587"/>
        <v>Off</v>
      </c>
      <c r="J3360" t="str">
        <f t="shared" si="587"/>
        <v>Off</v>
      </c>
      <c r="K3360" t="str">
        <f t="shared" si="587"/>
        <v>Off</v>
      </c>
      <c r="L3360" t="str">
        <f t="shared" si="588"/>
        <v>Off</v>
      </c>
      <c r="M3360" t="str">
        <f t="shared" si="588"/>
        <v>Off</v>
      </c>
      <c r="N3360" t="str">
        <f t="shared" si="588"/>
        <v>Off</v>
      </c>
      <c r="O3360" t="str">
        <f t="shared" si="588"/>
        <v>Off</v>
      </c>
      <c r="P3360" t="str">
        <f t="shared" si="588"/>
        <v>Off</v>
      </c>
      <c r="Q3360" t="str">
        <f t="shared" si="588"/>
        <v>Off</v>
      </c>
      <c r="R3360" t="str">
        <f t="shared" si="588"/>
        <v>Off</v>
      </c>
      <c r="S3360" t="str">
        <f t="shared" si="588"/>
        <v>Off</v>
      </c>
      <c r="T3360" t="str">
        <f t="shared" si="588"/>
        <v>Off</v>
      </c>
      <c r="U3360" t="str">
        <f t="shared" si="588"/>
        <v>Off</v>
      </c>
      <c r="V3360" t="str">
        <f t="shared" si="589"/>
        <v>Off</v>
      </c>
      <c r="W3360" t="str">
        <f t="shared" si="589"/>
        <v>Off</v>
      </c>
      <c r="X3360" t="str">
        <f t="shared" si="589"/>
        <v>Off</v>
      </c>
      <c r="Y3360" t="str">
        <f t="shared" si="589"/>
        <v>Off</v>
      </c>
      <c r="Z3360" t="str">
        <f t="shared" si="589"/>
        <v>Off</v>
      </c>
      <c r="AA3360" t="str">
        <f t="shared" si="589"/>
        <v>Off</v>
      </c>
      <c r="AB3360" t="str">
        <f t="shared" si="589"/>
        <v>Off</v>
      </c>
      <c r="AC3360" t="str">
        <f t="shared" si="589"/>
        <v>Off</v>
      </c>
      <c r="AD3360" t="str">
        <f t="shared" si="589"/>
        <v>Off</v>
      </c>
      <c r="AE3360" t="str">
        <f t="shared" si="589"/>
        <v>Off</v>
      </c>
      <c r="AF3360" t="str">
        <f t="shared" si="589"/>
        <v>Off</v>
      </c>
      <c r="AG3360" t="str">
        <f t="shared" si="589"/>
        <v>Off</v>
      </c>
    </row>
    <row r="3361" spans="1:33">
      <c r="A3361" t="s">
        <v>3322</v>
      </c>
      <c r="B3361">
        <v>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</row>
    <row r="3362" spans="1:33">
      <c r="A3362" t="s">
        <v>3323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</row>
    <row r="3363" spans="1:33">
      <c r="A3363" t="s">
        <v>3324</v>
      </c>
      <c r="B3363">
        <v>0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</row>
    <row r="3364" spans="1:33">
      <c r="A3364" t="s">
        <v>3325</v>
      </c>
      <c r="B3364">
        <v>0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</row>
    <row r="3365" spans="1:33">
      <c r="A3365" t="s">
        <v>3326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</row>
    <row r="3366" spans="1:33">
      <c r="A3366" t="s">
        <v>3327</v>
      </c>
      <c r="B3366">
        <v>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</row>
    <row r="3367" spans="1:33">
      <c r="A3367" t="s">
        <v>3328</v>
      </c>
      <c r="B3367">
        <v>0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</row>
    <row r="3368" spans="1:33">
      <c r="A3368" t="s">
        <v>3329</v>
      </c>
      <c r="B3368">
        <v>0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</row>
    <row r="3369" spans="1:33">
      <c r="A3369" t="s">
        <v>3330</v>
      </c>
      <c r="B3369">
        <v>0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</row>
    <row r="3370" spans="1:33">
      <c r="A3370" t="s">
        <v>3331</v>
      </c>
      <c r="B3370">
        <v>0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</row>
    <row r="3371" spans="1:33">
      <c r="A3371" t="s">
        <v>3332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</row>
    <row r="3372" spans="1:33">
      <c r="A3372" t="s">
        <v>3333</v>
      </c>
      <c r="B3372">
        <v>0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</row>
    <row r="3373" spans="1:33">
      <c r="A3373" t="s">
        <v>3334</v>
      </c>
      <c r="B3373">
        <v>0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</row>
    <row r="3374" spans="1:33">
      <c r="A3374" t="s">
        <v>3335</v>
      </c>
      <c r="B3374">
        <v>0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</row>
    <row r="3375" spans="1:33">
      <c r="A3375" t="s">
        <v>3336</v>
      </c>
      <c r="B3375">
        <v>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</row>
    <row r="3376" spans="1:33">
      <c r="A3376" t="s">
        <v>3337</v>
      </c>
      <c r="B3376">
        <v>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</row>
    <row r="3377" spans="1:33">
      <c r="A3377" t="s">
        <v>3338</v>
      </c>
      <c r="B3377">
        <v>0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</row>
    <row r="3378" spans="1:33">
      <c r="A3378" t="s">
        <v>3339</v>
      </c>
      <c r="B3378">
        <v>0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</row>
    <row r="3379" spans="1:33">
      <c r="A3379" t="s">
        <v>3340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</row>
    <row r="3380" spans="1:33">
      <c r="A3380" t="s">
        <v>3341</v>
      </c>
      <c r="B3380">
        <v>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</row>
    <row r="3381" spans="1:33">
      <c r="A3381" t="s">
        <v>3342</v>
      </c>
      <c r="B3381">
        <v>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</row>
    <row r="3382" spans="1:33">
      <c r="A3382" t="s">
        <v>3343</v>
      </c>
      <c r="B3382">
        <v>0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</row>
    <row r="3383" spans="1:33">
      <c r="A3383" t="s">
        <v>3344</v>
      </c>
      <c r="B3383">
        <v>0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</row>
    <row r="3384" spans="1:33">
      <c r="A3384" t="s">
        <v>3345</v>
      </c>
      <c r="B3384">
        <v>0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0</v>
      </c>
    </row>
    <row r="3385" spans="1:33">
      <c r="A3385" t="s">
        <v>3346</v>
      </c>
      <c r="B3385">
        <v>0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</row>
    <row r="3386" spans="1:33">
      <c r="A3386" t="s">
        <v>3347</v>
      </c>
      <c r="B3386">
        <v>0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0</v>
      </c>
    </row>
    <row r="3387" spans="1:33">
      <c r="A3387" t="s">
        <v>3348</v>
      </c>
      <c r="B3387">
        <v>0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</row>
    <row r="3388" spans="1:33">
      <c r="A3388" t="s">
        <v>3349</v>
      </c>
      <c r="B3388">
        <v>0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</row>
    <row r="3389" spans="1:33">
      <c r="A3389" t="s">
        <v>3350</v>
      </c>
      <c r="B3389">
        <v>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</row>
    <row r="3390" spans="1:33">
      <c r="A3390" t="s">
        <v>3351</v>
      </c>
      <c r="B3390">
        <v>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0</v>
      </c>
      <c r="AE3390">
        <v>0</v>
      </c>
      <c r="AF3390">
        <v>0</v>
      </c>
      <c r="AG3390">
        <v>0</v>
      </c>
    </row>
    <row r="3391" spans="1:33">
      <c r="A3391" t="s">
        <v>3352</v>
      </c>
      <c r="B3391">
        <v>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</row>
    <row r="3392" spans="1:33">
      <c r="A3392" t="s">
        <v>3353</v>
      </c>
      <c r="B3392">
        <v>0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</row>
    <row r="3393" spans="1:33">
      <c r="A3393" t="s">
        <v>3354</v>
      </c>
      <c r="B3393">
        <v>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</row>
    <row r="3394" spans="1:33">
      <c r="A3394" t="s">
        <v>3355</v>
      </c>
      <c r="B3394">
        <v>0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</row>
    <row r="3395" spans="1:33">
      <c r="A3395" t="s">
        <v>3356</v>
      </c>
      <c r="B3395">
        <v>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</row>
    <row r="3396" spans="1:33">
      <c r="A3396" t="s">
        <v>3357</v>
      </c>
      <c r="B3396">
        <v>0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</row>
    <row r="3397" spans="1:33">
      <c r="A3397" t="s">
        <v>3358</v>
      </c>
      <c r="B3397">
        <v>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</row>
    <row r="3398" spans="1:33">
      <c r="A3398" t="s">
        <v>3359</v>
      </c>
      <c r="B3398">
        <v>0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</row>
    <row r="3399" spans="1:33">
      <c r="A3399" t="s">
        <v>3360</v>
      </c>
      <c r="B3399">
        <v>0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</row>
    <row r="3400" spans="1:33">
      <c r="A3400" t="s">
        <v>3361</v>
      </c>
      <c r="B3400">
        <v>0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0</v>
      </c>
    </row>
    <row r="3401" spans="1:33">
      <c r="A3401" t="s">
        <v>3362</v>
      </c>
      <c r="B3401">
        <v>0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</row>
    <row r="3402" spans="1:33">
      <c r="A3402" t="s">
        <v>3363</v>
      </c>
      <c r="B3402">
        <v>0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</row>
    <row r="3403" spans="1:33">
      <c r="A3403" t="s">
        <v>3364</v>
      </c>
      <c r="B3403">
        <v>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</row>
    <row r="3404" spans="1:33">
      <c r="A3404" t="s">
        <v>3365</v>
      </c>
      <c r="B3404">
        <v>0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</row>
    <row r="3405" spans="1:33">
      <c r="A3405" t="s">
        <v>3366</v>
      </c>
      <c r="B3405">
        <v>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</row>
    <row r="3406" spans="1:33">
      <c r="A3406" t="s">
        <v>3367</v>
      </c>
      <c r="B3406">
        <v>0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</row>
    <row r="3407" spans="1:33">
      <c r="A3407" t="s">
        <v>3368</v>
      </c>
      <c r="B3407">
        <v>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</row>
    <row r="3408" spans="1:33">
      <c r="A3408" t="s">
        <v>3369</v>
      </c>
      <c r="B3408">
        <v>0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</row>
    <row r="3409" spans="1:33">
      <c r="A3409" t="s">
        <v>3370</v>
      </c>
      <c r="B3409">
        <v>0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</row>
    <row r="3411" spans="1:33">
      <c r="B3411" t="s">
        <v>3371</v>
      </c>
      <c r="C3411">
        <v>1</v>
      </c>
      <c r="D3411">
        <v>4</v>
      </c>
      <c r="E3411">
        <v>1</v>
      </c>
    </row>
    <row r="3412" spans="1:33">
      <c r="B3412" t="s">
        <v>193</v>
      </c>
      <c r="C3412" t="s">
        <v>196</v>
      </c>
      <c r="D3412" t="s">
        <v>3372</v>
      </c>
      <c r="E3412" t="s">
        <v>3373</v>
      </c>
    </row>
    <row r="3413" spans="1:33">
      <c r="A3413" t="s">
        <v>3374</v>
      </c>
      <c r="B3413" t="str">
        <f>"SP5S"</f>
        <v>SP5S</v>
      </c>
      <c r="C3413" t="str">
        <f>"OFF "</f>
        <v xml:space="preserve">OFF </v>
      </c>
      <c r="D3413" t="str">
        <f>"OFF "</f>
        <v xml:space="preserve">OFF </v>
      </c>
      <c r="E3413" t="str">
        <f>"OFF "</f>
        <v xml:space="preserve">OFF </v>
      </c>
    </row>
    <row r="3415" spans="1:33">
      <c r="B3415" t="s">
        <v>3375</v>
      </c>
      <c r="C3415">
        <v>8</v>
      </c>
      <c r="D3415">
        <v>1</v>
      </c>
      <c r="E3415">
        <v>1</v>
      </c>
    </row>
    <row r="3416" spans="1:33">
      <c r="B3416" t="s">
        <v>1508</v>
      </c>
    </row>
    <row r="3417" spans="1:33">
      <c r="A3417" t="s">
        <v>10</v>
      </c>
      <c r="B3417" t="str">
        <f>"ENABLE"</f>
        <v>ENABLE</v>
      </c>
    </row>
    <row r="3418" spans="1:33">
      <c r="A3418" t="s">
        <v>3376</v>
      </c>
      <c r="B3418">
        <v>11</v>
      </c>
    </row>
    <row r="3419" spans="1:33">
      <c r="A3419" t="s">
        <v>3377</v>
      </c>
      <c r="B3419" t="str">
        <f>"1"</f>
        <v>1</v>
      </c>
    </row>
    <row r="3420" spans="1:33">
      <c r="A3420" t="s">
        <v>3378</v>
      </c>
      <c r="B3420">
        <v>3</v>
      </c>
    </row>
    <row r="3421" spans="1:33">
      <c r="A3421" t="s">
        <v>3379</v>
      </c>
      <c r="B3421" t="str">
        <f>"2"</f>
        <v>2</v>
      </c>
    </row>
    <row r="3422" spans="1:33">
      <c r="A3422" t="s">
        <v>3380</v>
      </c>
      <c r="B3422" t="str">
        <f>"-"</f>
        <v>-</v>
      </c>
    </row>
    <row r="3423" spans="1:33">
      <c r="A3423" t="s">
        <v>3381</v>
      </c>
      <c r="B3423">
        <v>8</v>
      </c>
    </row>
    <row r="3424" spans="1:33">
      <c r="A3424" t="s">
        <v>3382</v>
      </c>
      <c r="B3424">
        <v>0</v>
      </c>
    </row>
    <row r="3426" spans="1:33">
      <c r="B3426" t="s">
        <v>3383</v>
      </c>
      <c r="C3426">
        <v>44</v>
      </c>
      <c r="D3426">
        <v>32</v>
      </c>
      <c r="E3426">
        <v>1</v>
      </c>
    </row>
    <row r="3427" spans="1:33">
      <c r="B3427" t="s">
        <v>3384</v>
      </c>
      <c r="C3427" t="s">
        <v>3385</v>
      </c>
      <c r="D3427" t="s">
        <v>3386</v>
      </c>
      <c r="E3427" t="s">
        <v>3387</v>
      </c>
      <c r="F3427" t="s">
        <v>3388</v>
      </c>
      <c r="G3427" t="s">
        <v>3389</v>
      </c>
      <c r="H3427" t="s">
        <v>3390</v>
      </c>
      <c r="I3427" t="s">
        <v>3391</v>
      </c>
      <c r="J3427" t="s">
        <v>3392</v>
      </c>
      <c r="K3427" t="s">
        <v>3393</v>
      </c>
      <c r="L3427" t="s">
        <v>3394</v>
      </c>
      <c r="M3427" t="s">
        <v>3395</v>
      </c>
      <c r="N3427" t="s">
        <v>3396</v>
      </c>
      <c r="O3427" t="s">
        <v>3397</v>
      </c>
      <c r="P3427" t="s">
        <v>3398</v>
      </c>
      <c r="Q3427" t="s">
        <v>3399</v>
      </c>
      <c r="R3427" t="s">
        <v>3400</v>
      </c>
      <c r="S3427" t="s">
        <v>3401</v>
      </c>
      <c r="T3427" t="s">
        <v>3402</v>
      </c>
      <c r="U3427" t="s">
        <v>3403</v>
      </c>
      <c r="V3427" t="s">
        <v>3404</v>
      </c>
      <c r="W3427" t="s">
        <v>3405</v>
      </c>
      <c r="X3427" t="s">
        <v>3406</v>
      </c>
      <c r="Y3427" t="s">
        <v>3407</v>
      </c>
      <c r="Z3427" t="s">
        <v>3408</v>
      </c>
      <c r="AA3427" t="s">
        <v>3409</v>
      </c>
      <c r="AB3427" t="s">
        <v>3410</v>
      </c>
      <c r="AC3427" t="s">
        <v>3411</v>
      </c>
      <c r="AD3427" t="s">
        <v>3412</v>
      </c>
      <c r="AE3427" t="s">
        <v>3413</v>
      </c>
      <c r="AF3427" t="s">
        <v>3414</v>
      </c>
      <c r="AG3427" t="s">
        <v>3415</v>
      </c>
    </row>
    <row r="3428" spans="1:33">
      <c r="A3428" t="s">
        <v>3416</v>
      </c>
      <c r="B3428">
        <v>0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</row>
    <row r="3429" spans="1:33">
      <c r="A3429" t="s">
        <v>3417</v>
      </c>
      <c r="B3429">
        <v>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</row>
    <row r="3430" spans="1:33">
      <c r="A3430" t="s">
        <v>3418</v>
      </c>
      <c r="B3430">
        <v>0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</row>
    <row r="3431" spans="1:33">
      <c r="A3431" t="s">
        <v>3419</v>
      </c>
      <c r="B3431">
        <v>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</row>
    <row r="3432" spans="1:33">
      <c r="A3432" t="s">
        <v>3420</v>
      </c>
      <c r="B3432">
        <v>0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</row>
    <row r="3433" spans="1:33">
      <c r="A3433" t="s">
        <v>3421</v>
      </c>
      <c r="B3433">
        <v>0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</row>
    <row r="3434" spans="1:33">
      <c r="A3434" t="s">
        <v>3422</v>
      </c>
      <c r="B3434">
        <v>0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0</v>
      </c>
      <c r="AG3434">
        <v>0</v>
      </c>
    </row>
    <row r="3435" spans="1:33">
      <c r="A3435" t="s">
        <v>3423</v>
      </c>
      <c r="B3435">
        <v>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0</v>
      </c>
      <c r="AE3435">
        <v>0</v>
      </c>
      <c r="AF3435">
        <v>0</v>
      </c>
      <c r="AG3435">
        <v>0</v>
      </c>
    </row>
    <row r="3436" spans="1:33">
      <c r="A3436" t="s">
        <v>3424</v>
      </c>
      <c r="B3436">
        <v>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</row>
    <row r="3437" spans="1:33">
      <c r="A3437" t="s">
        <v>3425</v>
      </c>
      <c r="B3437">
        <v>0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</row>
    <row r="3438" spans="1:33">
      <c r="A3438" t="s">
        <v>3426</v>
      </c>
      <c r="B3438">
        <v>0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</row>
    <row r="3439" spans="1:33">
      <c r="A3439" t="s">
        <v>3427</v>
      </c>
      <c r="B3439">
        <v>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</row>
    <row r="3440" spans="1:33">
      <c r="A3440" t="s">
        <v>3428</v>
      </c>
      <c r="B3440">
        <v>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</row>
    <row r="3441" spans="1:33">
      <c r="A3441" t="s">
        <v>3429</v>
      </c>
      <c r="B3441">
        <v>0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</row>
    <row r="3442" spans="1:33">
      <c r="A3442" t="s">
        <v>3430</v>
      </c>
      <c r="B3442">
        <v>0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</row>
    <row r="3443" spans="1:33">
      <c r="A3443" t="s">
        <v>3431</v>
      </c>
      <c r="B3443">
        <v>0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</row>
    <row r="3444" spans="1:33">
      <c r="A3444" t="s">
        <v>3432</v>
      </c>
      <c r="B3444">
        <v>0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</row>
    <row r="3445" spans="1:33">
      <c r="A3445" t="s">
        <v>3433</v>
      </c>
      <c r="B3445">
        <v>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</row>
    <row r="3446" spans="1:33">
      <c r="A3446" t="s">
        <v>3434</v>
      </c>
      <c r="B3446">
        <v>0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</row>
    <row r="3447" spans="1:33">
      <c r="A3447" t="s">
        <v>3435</v>
      </c>
      <c r="B3447">
        <v>0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</row>
    <row r="3448" spans="1:33">
      <c r="A3448" t="s">
        <v>3436</v>
      </c>
      <c r="B3448">
        <v>0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</row>
    <row r="3449" spans="1:33">
      <c r="A3449" t="s">
        <v>3437</v>
      </c>
      <c r="B3449">
        <v>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</row>
    <row r="3450" spans="1:33">
      <c r="A3450" t="s">
        <v>3438</v>
      </c>
      <c r="B3450">
        <v>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</row>
    <row r="3451" spans="1:33">
      <c r="A3451" t="s">
        <v>3439</v>
      </c>
      <c r="B3451">
        <v>0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</row>
    <row r="3452" spans="1:33">
      <c r="A3452" t="s">
        <v>3440</v>
      </c>
      <c r="B3452">
        <v>0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</row>
    <row r="3453" spans="1:33">
      <c r="A3453" t="s">
        <v>3441</v>
      </c>
      <c r="B3453">
        <v>0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</row>
    <row r="3454" spans="1:33">
      <c r="A3454" t="s">
        <v>3442</v>
      </c>
      <c r="B3454">
        <v>0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</row>
    <row r="3455" spans="1:33">
      <c r="A3455" t="s">
        <v>3443</v>
      </c>
      <c r="B3455">
        <v>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</row>
    <row r="3456" spans="1:33">
      <c r="A3456" t="s">
        <v>3444</v>
      </c>
      <c r="B3456">
        <v>0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</row>
    <row r="3457" spans="1:33">
      <c r="A3457" t="s">
        <v>3445</v>
      </c>
      <c r="B3457">
        <v>0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0</v>
      </c>
      <c r="AE3457">
        <v>0</v>
      </c>
      <c r="AF3457">
        <v>0</v>
      </c>
      <c r="AG3457">
        <v>0</v>
      </c>
    </row>
    <row r="3458" spans="1:33">
      <c r="A3458" t="s">
        <v>3446</v>
      </c>
      <c r="B3458">
        <v>0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</row>
    <row r="3459" spans="1:33">
      <c r="A3459" t="s">
        <v>3447</v>
      </c>
      <c r="B3459">
        <v>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</row>
    <row r="3460" spans="1:33">
      <c r="A3460" t="s">
        <v>3448</v>
      </c>
      <c r="B3460">
        <v>0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0</v>
      </c>
      <c r="AD3460">
        <v>0</v>
      </c>
      <c r="AE3460">
        <v>0</v>
      </c>
      <c r="AF3460">
        <v>0</v>
      </c>
      <c r="AG3460">
        <v>0</v>
      </c>
    </row>
    <row r="3461" spans="1:33">
      <c r="A3461" t="s">
        <v>3449</v>
      </c>
      <c r="B3461">
        <v>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0</v>
      </c>
      <c r="AD3461">
        <v>0</v>
      </c>
      <c r="AE3461">
        <v>0</v>
      </c>
      <c r="AF3461">
        <v>0</v>
      </c>
      <c r="AG3461">
        <v>0</v>
      </c>
    </row>
    <row r="3462" spans="1:33">
      <c r="A3462" t="s">
        <v>3450</v>
      </c>
      <c r="B3462">
        <v>0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</row>
    <row r="3463" spans="1:33">
      <c r="A3463" t="s">
        <v>3451</v>
      </c>
      <c r="B3463">
        <v>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</row>
    <row r="3464" spans="1:33">
      <c r="A3464" t="s">
        <v>3452</v>
      </c>
      <c r="B3464">
        <v>0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</row>
    <row r="3465" spans="1:33">
      <c r="A3465" t="s">
        <v>3453</v>
      </c>
      <c r="B3465">
        <v>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</row>
    <row r="3466" spans="1:33">
      <c r="A3466" t="s">
        <v>3454</v>
      </c>
      <c r="B3466">
        <v>0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</row>
    <row r="3467" spans="1:33">
      <c r="A3467" t="s">
        <v>3455</v>
      </c>
      <c r="B3467">
        <v>0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</row>
    <row r="3468" spans="1:33">
      <c r="A3468" t="s">
        <v>3456</v>
      </c>
      <c r="B3468">
        <v>0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</row>
    <row r="3469" spans="1:33">
      <c r="A3469" t="s">
        <v>3457</v>
      </c>
      <c r="B3469">
        <v>0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0</v>
      </c>
      <c r="AE3469">
        <v>0</v>
      </c>
      <c r="AF3469">
        <v>0</v>
      </c>
      <c r="AG3469">
        <v>0</v>
      </c>
    </row>
    <row r="3470" spans="1:33">
      <c r="A3470" t="s">
        <v>3458</v>
      </c>
      <c r="B3470">
        <v>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</row>
    <row r="3471" spans="1:33">
      <c r="A3471" t="s">
        <v>3459</v>
      </c>
      <c r="B3471">
        <v>0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</row>
    <row r="3473" spans="1:9">
      <c r="B3473" t="s">
        <v>3460</v>
      </c>
      <c r="C3473">
        <v>36</v>
      </c>
      <c r="D3473">
        <v>8</v>
      </c>
      <c r="E3473">
        <v>1</v>
      </c>
    </row>
    <row r="3474" spans="1:9">
      <c r="B3474" t="s">
        <v>3461</v>
      </c>
      <c r="C3474" t="s">
        <v>3462</v>
      </c>
      <c r="D3474" t="s">
        <v>3463</v>
      </c>
      <c r="E3474" t="s">
        <v>3464</v>
      </c>
      <c r="F3474" t="s">
        <v>3465</v>
      </c>
      <c r="G3474" t="s">
        <v>3466</v>
      </c>
      <c r="H3474" t="s">
        <v>3467</v>
      </c>
      <c r="I3474" t="s">
        <v>3468</v>
      </c>
    </row>
    <row r="3475" spans="1:9">
      <c r="A3475" t="s">
        <v>2931</v>
      </c>
      <c r="B3475">
        <v>0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v>0</v>
      </c>
    </row>
    <row r="3476" spans="1:9">
      <c r="A3476" t="s">
        <v>2932</v>
      </c>
      <c r="B3476">
        <v>0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>
      <c r="A3477" t="s">
        <v>2933</v>
      </c>
      <c r="B3477">
        <v>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v>0</v>
      </c>
    </row>
    <row r="3478" spans="1:9">
      <c r="A3478" t="s">
        <v>2934</v>
      </c>
      <c r="B3478">
        <v>0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v>0</v>
      </c>
    </row>
    <row r="3479" spans="1:9">
      <c r="A3479" t="s">
        <v>2935</v>
      </c>
      <c r="B3479">
        <v>0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0</v>
      </c>
    </row>
    <row r="3480" spans="1:9">
      <c r="A3480" t="s">
        <v>2936</v>
      </c>
      <c r="B3480">
        <v>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v>0</v>
      </c>
    </row>
    <row r="3481" spans="1:9">
      <c r="A3481" t="s">
        <v>2937</v>
      </c>
      <c r="B3481">
        <v>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0</v>
      </c>
    </row>
    <row r="3482" spans="1:9">
      <c r="A3482" t="s">
        <v>2938</v>
      </c>
      <c r="B3482">
        <v>0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>
      <c r="A3483" t="s">
        <v>2939</v>
      </c>
      <c r="B3483">
        <v>0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>
      <c r="A3484" t="s">
        <v>2940</v>
      </c>
      <c r="B3484">
        <v>0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v>0</v>
      </c>
    </row>
    <row r="3485" spans="1:9">
      <c r="A3485" t="s">
        <v>2941</v>
      </c>
      <c r="B3485">
        <v>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v>0</v>
      </c>
    </row>
    <row r="3486" spans="1:9">
      <c r="A3486" t="s">
        <v>2942</v>
      </c>
      <c r="B3486">
        <v>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v>0</v>
      </c>
    </row>
    <row r="3487" spans="1:9">
      <c r="A3487" t="s">
        <v>2943</v>
      </c>
      <c r="B3487">
        <v>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v>0</v>
      </c>
    </row>
    <row r="3488" spans="1:9">
      <c r="A3488" t="s">
        <v>2944</v>
      </c>
      <c r="B3488">
        <v>0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</row>
    <row r="3489" spans="1:9">
      <c r="A3489" t="s">
        <v>2945</v>
      </c>
      <c r="B3489">
        <v>0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0</v>
      </c>
    </row>
    <row r="3490" spans="1:9">
      <c r="A3490" t="s">
        <v>2946</v>
      </c>
      <c r="B3490">
        <v>0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v>0</v>
      </c>
    </row>
    <row r="3491" spans="1:9">
      <c r="A3491" t="s">
        <v>2947</v>
      </c>
      <c r="B3491">
        <v>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>
      <c r="A3492" t="s">
        <v>2948</v>
      </c>
      <c r="B3492">
        <v>0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v>0</v>
      </c>
    </row>
    <row r="3493" spans="1:9">
      <c r="A3493" t="s">
        <v>2949</v>
      </c>
      <c r="B3493">
        <v>0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v>0</v>
      </c>
    </row>
    <row r="3494" spans="1:9">
      <c r="A3494" t="s">
        <v>2950</v>
      </c>
      <c r="B3494">
        <v>0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v>0</v>
      </c>
    </row>
    <row r="3495" spans="1:9">
      <c r="A3495" t="s">
        <v>2951</v>
      </c>
      <c r="B3495">
        <v>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>
      <c r="A3496" t="s">
        <v>2952</v>
      </c>
      <c r="B3496">
        <v>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>
      <c r="A3497" t="s">
        <v>2953</v>
      </c>
      <c r="B3497">
        <v>0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</row>
    <row r="3498" spans="1:9">
      <c r="A3498" t="s">
        <v>2954</v>
      </c>
      <c r="B3498">
        <v>0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v>0</v>
      </c>
    </row>
    <row r="3499" spans="1:9">
      <c r="A3499" t="s">
        <v>2955</v>
      </c>
      <c r="B3499">
        <v>0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0</v>
      </c>
    </row>
    <row r="3500" spans="1:9">
      <c r="A3500" t="s">
        <v>2956</v>
      </c>
      <c r="B3500">
        <v>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v>0</v>
      </c>
    </row>
    <row r="3501" spans="1:9">
      <c r="A3501" t="s">
        <v>2957</v>
      </c>
      <c r="B3501">
        <v>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v>0</v>
      </c>
    </row>
    <row r="3502" spans="1:9">
      <c r="A3502" t="s">
        <v>2958</v>
      </c>
      <c r="B3502">
        <v>0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v>0</v>
      </c>
    </row>
    <row r="3503" spans="1:9">
      <c r="A3503" t="s">
        <v>2959</v>
      </c>
      <c r="B3503">
        <v>0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v>0</v>
      </c>
    </row>
    <row r="3504" spans="1:9">
      <c r="A3504" t="s">
        <v>2960</v>
      </c>
      <c r="B3504">
        <v>0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>
      <c r="A3505" t="s">
        <v>2961</v>
      </c>
      <c r="B3505">
        <v>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v>0</v>
      </c>
    </row>
    <row r="3506" spans="1:9">
      <c r="A3506" t="s">
        <v>2962</v>
      </c>
      <c r="B3506">
        <v>0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v>0</v>
      </c>
    </row>
    <row r="3507" spans="1:9">
      <c r="A3507" t="s">
        <v>3469</v>
      </c>
      <c r="B3507">
        <v>0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0</v>
      </c>
    </row>
    <row r="3508" spans="1:9">
      <c r="A3508" t="s">
        <v>3470</v>
      </c>
      <c r="B3508">
        <v>0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0</v>
      </c>
    </row>
    <row r="3509" spans="1:9">
      <c r="A3509" t="s">
        <v>3471</v>
      </c>
      <c r="B3509">
        <v>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0</v>
      </c>
    </row>
    <row r="3510" spans="1:9">
      <c r="A3510" t="s">
        <v>3472</v>
      </c>
      <c r="B3510">
        <v>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v>0</v>
      </c>
    </row>
    <row r="3512" spans="1:9">
      <c r="B3512" t="s">
        <v>3473</v>
      </c>
      <c r="C3512">
        <v>16</v>
      </c>
      <c r="D3512">
        <v>1</v>
      </c>
      <c r="E3512">
        <v>1</v>
      </c>
    </row>
    <row r="3513" spans="1:9">
      <c r="B3513" t="s">
        <v>1508</v>
      </c>
    </row>
    <row r="3514" spans="1:9">
      <c r="A3514" t="s">
        <v>3474</v>
      </c>
      <c r="B3514" t="str">
        <f>"OFF"</f>
        <v>OFF</v>
      </c>
    </row>
    <row r="3515" spans="1:9">
      <c r="A3515" t="s">
        <v>179</v>
      </c>
      <c r="B3515" t="str">
        <f>"OFF"</f>
        <v>OFF</v>
      </c>
    </row>
    <row r="3516" spans="1:9">
      <c r="A3516" t="s">
        <v>128</v>
      </c>
      <c r="B3516" t="str">
        <f>"OFF"</f>
        <v>OFF</v>
      </c>
    </row>
    <row r="3517" spans="1:9">
      <c r="A3517" t="s">
        <v>3475</v>
      </c>
      <c r="B3517" t="str">
        <f>"OFF"</f>
        <v>OFF</v>
      </c>
    </row>
    <row r="3518" spans="1:9">
      <c r="A3518" t="s">
        <v>129</v>
      </c>
      <c r="B3518" t="str">
        <f>"4Ph"</f>
        <v>4Ph</v>
      </c>
    </row>
    <row r="3519" spans="1:9">
      <c r="A3519" t="s">
        <v>3476</v>
      </c>
      <c r="B3519" t="str">
        <f>"ON"</f>
        <v>ON</v>
      </c>
    </row>
    <row r="3520" spans="1:9">
      <c r="A3520" t="s">
        <v>3477</v>
      </c>
      <c r="B3520">
        <v>1</v>
      </c>
    </row>
    <row r="3521" spans="1:50">
      <c r="A3521" t="s">
        <v>3478</v>
      </c>
      <c r="B3521" t="str">
        <f>"RSt"</f>
        <v>RSt</v>
      </c>
    </row>
    <row r="3522" spans="1:50">
      <c r="A3522" t="s">
        <v>171</v>
      </c>
      <c r="B3522">
        <v>0</v>
      </c>
    </row>
    <row r="3523" spans="1:50">
      <c r="A3523" t="s">
        <v>3479</v>
      </c>
      <c r="B3523" t="str">
        <f>"OFF"</f>
        <v>OFF</v>
      </c>
    </row>
    <row r="3524" spans="1:50">
      <c r="A3524" t="s">
        <v>133</v>
      </c>
      <c r="B3524" t="str">
        <f>"STD8"</f>
        <v>STD8</v>
      </c>
    </row>
    <row r="3525" spans="1:50">
      <c r="A3525" t="s">
        <v>120</v>
      </c>
      <c r="B3525">
        <v>2</v>
      </c>
    </row>
    <row r="3526" spans="1:50">
      <c r="A3526" t="s">
        <v>3480</v>
      </c>
      <c r="B3526">
        <v>0</v>
      </c>
    </row>
    <row r="3527" spans="1:50">
      <c r="A3527" t="s">
        <v>3481</v>
      </c>
      <c r="B3527" t="str">
        <f>"SkipPed"</f>
        <v>SkipPed</v>
      </c>
    </row>
    <row r="3528" spans="1:50">
      <c r="A3528" t="s">
        <v>3482</v>
      </c>
      <c r="B3528">
        <v>0</v>
      </c>
    </row>
    <row r="3529" spans="1:50">
      <c r="A3529" t="s">
        <v>3483</v>
      </c>
      <c r="B3529" t="str">
        <f>"OFF"</f>
        <v>OFF</v>
      </c>
    </row>
    <row r="3531" spans="1:50">
      <c r="B3531" t="s">
        <v>3484</v>
      </c>
      <c r="C3531">
        <v>1</v>
      </c>
      <c r="D3531">
        <v>49</v>
      </c>
      <c r="E3531">
        <v>1</v>
      </c>
    </row>
    <row r="3532" spans="1:50">
      <c r="B3532" t="s">
        <v>1186</v>
      </c>
      <c r="C3532" t="s">
        <v>1187</v>
      </c>
      <c r="D3532" t="s">
        <v>1188</v>
      </c>
      <c r="E3532" t="s">
        <v>1189</v>
      </c>
      <c r="F3532" t="s">
        <v>1190</v>
      </c>
      <c r="G3532" t="s">
        <v>1191</v>
      </c>
      <c r="H3532" t="s">
        <v>1192</v>
      </c>
      <c r="I3532" t="s">
        <v>1193</v>
      </c>
      <c r="J3532" t="s">
        <v>3485</v>
      </c>
      <c r="K3532" t="s">
        <v>3486</v>
      </c>
      <c r="L3532" t="s">
        <v>3487</v>
      </c>
      <c r="M3532" t="s">
        <v>3488</v>
      </c>
      <c r="N3532" t="s">
        <v>3489</v>
      </c>
      <c r="O3532" t="s">
        <v>3490</v>
      </c>
      <c r="P3532" t="s">
        <v>3491</v>
      </c>
      <c r="Q3532" t="s">
        <v>3492</v>
      </c>
      <c r="R3532" t="s">
        <v>3493</v>
      </c>
      <c r="S3532" t="s">
        <v>3494</v>
      </c>
      <c r="T3532" t="s">
        <v>3495</v>
      </c>
      <c r="U3532" t="s">
        <v>3496</v>
      </c>
      <c r="V3532" t="s">
        <v>3497</v>
      </c>
      <c r="W3532" t="s">
        <v>3498</v>
      </c>
      <c r="X3532" t="s">
        <v>3499</v>
      </c>
      <c r="Y3532" t="s">
        <v>3500</v>
      </c>
      <c r="Z3532" t="s">
        <v>3501</v>
      </c>
      <c r="AA3532" t="s">
        <v>3502</v>
      </c>
      <c r="AB3532" t="s">
        <v>3503</v>
      </c>
      <c r="AC3532" t="s">
        <v>3504</v>
      </c>
      <c r="AD3532" t="s">
        <v>3505</v>
      </c>
      <c r="AE3532" t="s">
        <v>3506</v>
      </c>
      <c r="AF3532" t="s">
        <v>3507</v>
      </c>
      <c r="AG3532" t="s">
        <v>3508</v>
      </c>
      <c r="AH3532" t="s">
        <v>3509</v>
      </c>
      <c r="AI3532" t="s">
        <v>3510</v>
      </c>
      <c r="AJ3532" t="s">
        <v>3511</v>
      </c>
      <c r="AK3532" t="s">
        <v>3512</v>
      </c>
      <c r="AL3532" t="s">
        <v>3513</v>
      </c>
      <c r="AM3532" t="s">
        <v>3514</v>
      </c>
      <c r="AN3532" t="s">
        <v>3515</v>
      </c>
      <c r="AO3532" t="s">
        <v>3516</v>
      </c>
      <c r="AP3532" t="s">
        <v>3517</v>
      </c>
      <c r="AQ3532" t="s">
        <v>3518</v>
      </c>
      <c r="AR3532" t="s">
        <v>3519</v>
      </c>
      <c r="AS3532" t="s">
        <v>3520</v>
      </c>
      <c r="AT3532" t="s">
        <v>3521</v>
      </c>
      <c r="AU3532" t="s">
        <v>3522</v>
      </c>
      <c r="AV3532" t="s">
        <v>3523</v>
      </c>
      <c r="AW3532" t="s">
        <v>3524</v>
      </c>
      <c r="AX3532" t="s">
        <v>3525</v>
      </c>
    </row>
    <row r="3533" spans="1:50">
      <c r="A3533" t="s">
        <v>3526</v>
      </c>
      <c r="B3533">
        <v>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</row>
    <row r="3535" spans="1:50">
      <c r="B3535" t="s">
        <v>3527</v>
      </c>
      <c r="C3535">
        <v>1</v>
      </c>
      <c r="D3535">
        <v>11</v>
      </c>
      <c r="E3535">
        <v>1</v>
      </c>
    </row>
    <row r="3536" spans="1:50">
      <c r="B3536" t="s">
        <v>1186</v>
      </c>
      <c r="C3536" t="s">
        <v>1187</v>
      </c>
      <c r="D3536" t="s">
        <v>1188</v>
      </c>
      <c r="E3536" t="s">
        <v>1189</v>
      </c>
      <c r="F3536" t="s">
        <v>1190</v>
      </c>
      <c r="G3536" t="s">
        <v>1191</v>
      </c>
      <c r="H3536" t="s">
        <v>1192</v>
      </c>
      <c r="I3536" t="s">
        <v>1193</v>
      </c>
      <c r="J3536" t="s">
        <v>3485</v>
      </c>
      <c r="K3536" t="s">
        <v>3486</v>
      </c>
      <c r="L3536" t="s">
        <v>3487</v>
      </c>
    </row>
    <row r="3537" spans="1:129">
      <c r="A3537" t="s">
        <v>3526</v>
      </c>
      <c r="B3537">
        <v>0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</row>
    <row r="3539" spans="1:129">
      <c r="B3539" t="s">
        <v>3528</v>
      </c>
      <c r="C3539">
        <v>17</v>
      </c>
      <c r="D3539">
        <v>128</v>
      </c>
      <c r="E3539">
        <v>1</v>
      </c>
    </row>
    <row r="3540" spans="1:129">
      <c r="B3540" t="s">
        <v>63</v>
      </c>
      <c r="C3540" t="s">
        <v>64</v>
      </c>
      <c r="D3540" t="s">
        <v>65</v>
      </c>
      <c r="E3540" t="s">
        <v>66</v>
      </c>
      <c r="F3540" t="s">
        <v>67</v>
      </c>
      <c r="G3540" t="s">
        <v>68</v>
      </c>
      <c r="H3540" t="s">
        <v>69</v>
      </c>
      <c r="I3540" t="s">
        <v>70</v>
      </c>
      <c r="J3540" t="s">
        <v>71</v>
      </c>
      <c r="K3540" t="s">
        <v>72</v>
      </c>
      <c r="L3540" t="s">
        <v>73</v>
      </c>
      <c r="M3540" t="s">
        <v>74</v>
      </c>
      <c r="N3540" t="s">
        <v>75</v>
      </c>
      <c r="O3540" t="s">
        <v>76</v>
      </c>
      <c r="P3540" t="s">
        <v>77</v>
      </c>
      <c r="Q3540" t="s">
        <v>78</v>
      </c>
      <c r="R3540" t="s">
        <v>79</v>
      </c>
      <c r="S3540" t="s">
        <v>80</v>
      </c>
      <c r="T3540" t="s">
        <v>81</v>
      </c>
      <c r="U3540" t="s">
        <v>82</v>
      </c>
      <c r="V3540" t="s">
        <v>83</v>
      </c>
      <c r="W3540" t="s">
        <v>84</v>
      </c>
      <c r="X3540" t="s">
        <v>85</v>
      </c>
      <c r="Y3540" t="s">
        <v>86</v>
      </c>
      <c r="Z3540" t="s">
        <v>87</v>
      </c>
      <c r="AA3540" t="s">
        <v>88</v>
      </c>
      <c r="AB3540" t="s">
        <v>89</v>
      </c>
      <c r="AC3540" t="s">
        <v>90</v>
      </c>
      <c r="AD3540" t="s">
        <v>91</v>
      </c>
      <c r="AE3540" t="s">
        <v>92</v>
      </c>
      <c r="AF3540" t="s">
        <v>93</v>
      </c>
      <c r="AG3540" t="s">
        <v>94</v>
      </c>
      <c r="AH3540" t="s">
        <v>95</v>
      </c>
      <c r="AI3540" t="s">
        <v>96</v>
      </c>
      <c r="AJ3540" t="s">
        <v>97</v>
      </c>
      <c r="AK3540" t="s">
        <v>98</v>
      </c>
      <c r="AL3540" t="s">
        <v>99</v>
      </c>
      <c r="AM3540" t="s">
        <v>100</v>
      </c>
      <c r="AN3540" t="s">
        <v>101</v>
      </c>
      <c r="AO3540" t="s">
        <v>102</v>
      </c>
      <c r="AP3540" t="s">
        <v>103</v>
      </c>
      <c r="AQ3540" t="s">
        <v>104</v>
      </c>
      <c r="AR3540" t="s">
        <v>105</v>
      </c>
      <c r="AS3540" t="s">
        <v>106</v>
      </c>
      <c r="AT3540" t="s">
        <v>1157</v>
      </c>
      <c r="AU3540" t="s">
        <v>1158</v>
      </c>
      <c r="AV3540" t="s">
        <v>1159</v>
      </c>
      <c r="AW3540" t="s">
        <v>1160</v>
      </c>
      <c r="AX3540" t="s">
        <v>1161</v>
      </c>
      <c r="AY3540" t="s">
        <v>1162</v>
      </c>
      <c r="AZ3540" t="s">
        <v>1163</v>
      </c>
      <c r="BA3540" t="s">
        <v>1164</v>
      </c>
      <c r="BB3540" t="s">
        <v>1165</v>
      </c>
      <c r="BC3540" t="s">
        <v>1166</v>
      </c>
      <c r="BD3540" t="s">
        <v>1167</v>
      </c>
      <c r="BE3540" t="s">
        <v>1168</v>
      </c>
      <c r="BF3540" t="s">
        <v>1169</v>
      </c>
      <c r="BG3540" t="s">
        <v>1170</v>
      </c>
      <c r="BH3540" t="s">
        <v>1171</v>
      </c>
      <c r="BI3540" t="s">
        <v>1172</v>
      </c>
      <c r="BJ3540" t="s">
        <v>1173</v>
      </c>
      <c r="BK3540" t="s">
        <v>1174</v>
      </c>
      <c r="BL3540" t="s">
        <v>1175</v>
      </c>
      <c r="BM3540" t="s">
        <v>1176</v>
      </c>
      <c r="BN3540" t="s">
        <v>3529</v>
      </c>
      <c r="BO3540" t="s">
        <v>3530</v>
      </c>
      <c r="BP3540" t="s">
        <v>3531</v>
      </c>
      <c r="BQ3540" t="s">
        <v>3532</v>
      </c>
      <c r="BR3540" t="s">
        <v>3533</v>
      </c>
      <c r="BS3540" t="s">
        <v>3534</v>
      </c>
      <c r="BT3540" t="s">
        <v>3535</v>
      </c>
      <c r="BU3540" t="s">
        <v>3536</v>
      </c>
      <c r="BV3540" t="s">
        <v>3537</v>
      </c>
      <c r="BW3540" t="s">
        <v>3538</v>
      </c>
      <c r="BX3540" t="s">
        <v>3539</v>
      </c>
      <c r="BY3540" t="s">
        <v>3540</v>
      </c>
      <c r="BZ3540" t="s">
        <v>3541</v>
      </c>
      <c r="CA3540" t="s">
        <v>3542</v>
      </c>
      <c r="CB3540" t="s">
        <v>3543</v>
      </c>
      <c r="CC3540" t="s">
        <v>3544</v>
      </c>
      <c r="CD3540" t="s">
        <v>3545</v>
      </c>
      <c r="CE3540" t="s">
        <v>3546</v>
      </c>
      <c r="CF3540" t="s">
        <v>3547</v>
      </c>
      <c r="CG3540" t="s">
        <v>3548</v>
      </c>
      <c r="CH3540" t="s">
        <v>3549</v>
      </c>
      <c r="CI3540" t="s">
        <v>3550</v>
      </c>
      <c r="CJ3540" t="s">
        <v>3551</v>
      </c>
      <c r="CK3540" t="s">
        <v>3552</v>
      </c>
      <c r="CL3540" t="s">
        <v>3553</v>
      </c>
      <c r="CM3540" t="s">
        <v>3554</v>
      </c>
      <c r="CN3540" t="s">
        <v>3555</v>
      </c>
      <c r="CO3540" t="s">
        <v>3556</v>
      </c>
      <c r="CP3540" t="s">
        <v>3557</v>
      </c>
      <c r="CQ3540" t="s">
        <v>3558</v>
      </c>
      <c r="CR3540" t="s">
        <v>3559</v>
      </c>
      <c r="CS3540" t="s">
        <v>3560</v>
      </c>
      <c r="CT3540" t="s">
        <v>3561</v>
      </c>
      <c r="CU3540" t="s">
        <v>3562</v>
      </c>
      <c r="CV3540" t="s">
        <v>3563</v>
      </c>
      <c r="CW3540" t="s">
        <v>3564</v>
      </c>
      <c r="CX3540" t="s">
        <v>3565</v>
      </c>
      <c r="CY3540" t="s">
        <v>3566</v>
      </c>
      <c r="CZ3540" t="s">
        <v>3567</v>
      </c>
      <c r="DA3540" t="s">
        <v>3568</v>
      </c>
      <c r="DB3540" t="s">
        <v>3569</v>
      </c>
      <c r="DC3540" t="s">
        <v>3570</v>
      </c>
      <c r="DD3540" t="s">
        <v>3571</v>
      </c>
      <c r="DE3540" t="s">
        <v>3572</v>
      </c>
      <c r="DF3540" t="s">
        <v>3573</v>
      </c>
      <c r="DG3540" t="s">
        <v>3574</v>
      </c>
      <c r="DH3540" t="s">
        <v>3575</v>
      </c>
      <c r="DI3540" t="s">
        <v>3576</v>
      </c>
      <c r="DJ3540" t="s">
        <v>3577</v>
      </c>
      <c r="DK3540" t="s">
        <v>3578</v>
      </c>
      <c r="DL3540" t="s">
        <v>3579</v>
      </c>
      <c r="DM3540" t="s">
        <v>3580</v>
      </c>
      <c r="DN3540" t="s">
        <v>3581</v>
      </c>
      <c r="DO3540" t="s">
        <v>3582</v>
      </c>
      <c r="DP3540" t="s">
        <v>3583</v>
      </c>
      <c r="DQ3540" t="s">
        <v>3584</v>
      </c>
      <c r="DR3540" t="s">
        <v>3585</v>
      </c>
      <c r="DS3540" t="s">
        <v>3586</v>
      </c>
      <c r="DT3540" t="s">
        <v>3587</v>
      </c>
      <c r="DU3540" t="s">
        <v>3588</v>
      </c>
      <c r="DV3540" t="s">
        <v>3589</v>
      </c>
      <c r="DW3540" t="s">
        <v>3590</v>
      </c>
      <c r="DX3540" t="s">
        <v>3591</v>
      </c>
      <c r="DY3540" t="s">
        <v>3592</v>
      </c>
    </row>
    <row r="3541" spans="1:129">
      <c r="A3541" t="s">
        <v>2483</v>
      </c>
      <c r="B3541" t="str">
        <f t="shared" ref="B3541:AC3541" si="590">"Off"</f>
        <v>Off</v>
      </c>
      <c r="C3541" t="str">
        <f t="shared" si="590"/>
        <v>Off</v>
      </c>
      <c r="D3541" t="str">
        <f t="shared" si="590"/>
        <v>Off</v>
      </c>
      <c r="E3541" t="str">
        <f t="shared" si="590"/>
        <v>Off</v>
      </c>
      <c r="F3541" t="str">
        <f t="shared" si="590"/>
        <v>Off</v>
      </c>
      <c r="G3541" t="str">
        <f t="shared" si="590"/>
        <v>Off</v>
      </c>
      <c r="H3541" t="str">
        <f t="shared" si="590"/>
        <v>Off</v>
      </c>
      <c r="I3541" t="str">
        <f t="shared" si="590"/>
        <v>Off</v>
      </c>
      <c r="J3541" t="str">
        <f t="shared" si="590"/>
        <v>Off</v>
      </c>
      <c r="K3541" t="str">
        <f t="shared" si="590"/>
        <v>Off</v>
      </c>
      <c r="L3541" t="str">
        <f t="shared" si="590"/>
        <v>Off</v>
      </c>
      <c r="M3541" t="str">
        <f t="shared" si="590"/>
        <v>Off</v>
      </c>
      <c r="N3541" t="str">
        <f t="shared" si="590"/>
        <v>Off</v>
      </c>
      <c r="O3541" t="str">
        <f t="shared" si="590"/>
        <v>Off</v>
      </c>
      <c r="P3541" t="str">
        <f t="shared" si="590"/>
        <v>Off</v>
      </c>
      <c r="Q3541" t="str">
        <f t="shared" si="590"/>
        <v>Off</v>
      </c>
      <c r="R3541" t="str">
        <f t="shared" si="590"/>
        <v>Off</v>
      </c>
      <c r="S3541" t="str">
        <f t="shared" si="590"/>
        <v>Off</v>
      </c>
      <c r="T3541" t="str">
        <f t="shared" si="590"/>
        <v>Off</v>
      </c>
      <c r="U3541" t="str">
        <f t="shared" si="590"/>
        <v>Off</v>
      </c>
      <c r="V3541" t="str">
        <f t="shared" si="590"/>
        <v>Off</v>
      </c>
      <c r="W3541" t="str">
        <f t="shared" si="590"/>
        <v>Off</v>
      </c>
      <c r="X3541" t="str">
        <f t="shared" si="590"/>
        <v>Off</v>
      </c>
      <c r="Y3541" t="str">
        <f t="shared" si="590"/>
        <v>Off</v>
      </c>
      <c r="Z3541" t="str">
        <f t="shared" si="590"/>
        <v>Off</v>
      </c>
      <c r="AA3541" t="str">
        <f t="shared" si="590"/>
        <v>Off</v>
      </c>
      <c r="AB3541" t="str">
        <f t="shared" si="590"/>
        <v>Off</v>
      </c>
      <c r="AC3541" t="str">
        <f t="shared" si="590"/>
        <v>Off</v>
      </c>
      <c r="AD3541" t="str">
        <f t="shared" ref="AD3541:AG3542" si="591">"On"</f>
        <v>On</v>
      </c>
      <c r="AE3541" t="str">
        <f t="shared" si="591"/>
        <v>On</v>
      </c>
      <c r="AF3541" t="str">
        <f t="shared" si="591"/>
        <v>On</v>
      </c>
      <c r="AG3541" t="str">
        <f t="shared" si="591"/>
        <v>On</v>
      </c>
      <c r="AH3541" t="str">
        <f t="shared" ref="AH3541:BM3541" si="592">"Off"</f>
        <v>Off</v>
      </c>
      <c r="AI3541" t="str">
        <f t="shared" si="592"/>
        <v>Off</v>
      </c>
      <c r="AJ3541" t="str">
        <f t="shared" si="592"/>
        <v>Off</v>
      </c>
      <c r="AK3541" t="str">
        <f t="shared" si="592"/>
        <v>Off</v>
      </c>
      <c r="AL3541" t="str">
        <f t="shared" si="592"/>
        <v>Off</v>
      </c>
      <c r="AM3541" t="str">
        <f t="shared" si="592"/>
        <v>Off</v>
      </c>
      <c r="AN3541" t="str">
        <f t="shared" si="592"/>
        <v>Off</v>
      </c>
      <c r="AO3541" t="str">
        <f t="shared" si="592"/>
        <v>Off</v>
      </c>
      <c r="AP3541" t="str">
        <f t="shared" si="592"/>
        <v>Off</v>
      </c>
      <c r="AQ3541" t="str">
        <f t="shared" si="592"/>
        <v>Off</v>
      </c>
      <c r="AR3541" t="str">
        <f t="shared" si="592"/>
        <v>Off</v>
      </c>
      <c r="AS3541" t="str">
        <f t="shared" si="592"/>
        <v>Off</v>
      </c>
      <c r="AT3541" t="str">
        <f t="shared" si="592"/>
        <v>Off</v>
      </c>
      <c r="AU3541" t="str">
        <f t="shared" si="592"/>
        <v>Off</v>
      </c>
      <c r="AV3541" t="str">
        <f t="shared" si="592"/>
        <v>Off</v>
      </c>
      <c r="AW3541" t="str">
        <f t="shared" si="592"/>
        <v>Off</v>
      </c>
      <c r="AX3541" t="str">
        <f t="shared" si="592"/>
        <v>Off</v>
      </c>
      <c r="AY3541" t="str">
        <f t="shared" si="592"/>
        <v>Off</v>
      </c>
      <c r="AZ3541" t="str">
        <f t="shared" si="592"/>
        <v>Off</v>
      </c>
      <c r="BA3541" t="str">
        <f t="shared" si="592"/>
        <v>Off</v>
      </c>
      <c r="BB3541" t="str">
        <f t="shared" si="592"/>
        <v>Off</v>
      </c>
      <c r="BC3541" t="str">
        <f t="shared" si="592"/>
        <v>Off</v>
      </c>
      <c r="BD3541" t="str">
        <f t="shared" si="592"/>
        <v>Off</v>
      </c>
      <c r="BE3541" t="str">
        <f t="shared" si="592"/>
        <v>Off</v>
      </c>
      <c r="BF3541" t="str">
        <f t="shared" si="592"/>
        <v>Off</v>
      </c>
      <c r="BG3541" t="str">
        <f t="shared" si="592"/>
        <v>Off</v>
      </c>
      <c r="BH3541" t="str">
        <f t="shared" si="592"/>
        <v>Off</v>
      </c>
      <c r="BI3541" t="str">
        <f t="shared" si="592"/>
        <v>Off</v>
      </c>
      <c r="BJ3541" t="str">
        <f t="shared" si="592"/>
        <v>Off</v>
      </c>
      <c r="BK3541" t="str">
        <f t="shared" si="592"/>
        <v>Off</v>
      </c>
      <c r="BL3541" t="str">
        <f t="shared" si="592"/>
        <v>Off</v>
      </c>
      <c r="BM3541" t="str">
        <f t="shared" si="592"/>
        <v>Off</v>
      </c>
      <c r="BN3541" t="str">
        <f t="shared" ref="BN3541:CS3541" si="593">"Off"</f>
        <v>Off</v>
      </c>
      <c r="BO3541" t="str">
        <f t="shared" si="593"/>
        <v>Off</v>
      </c>
      <c r="BP3541" t="str">
        <f t="shared" si="593"/>
        <v>Off</v>
      </c>
      <c r="BQ3541" t="str">
        <f t="shared" si="593"/>
        <v>Off</v>
      </c>
      <c r="BR3541" t="str">
        <f t="shared" si="593"/>
        <v>Off</v>
      </c>
      <c r="BS3541" t="str">
        <f t="shared" si="593"/>
        <v>Off</v>
      </c>
      <c r="BT3541" t="str">
        <f t="shared" si="593"/>
        <v>Off</v>
      </c>
      <c r="BU3541" t="str">
        <f t="shared" si="593"/>
        <v>Off</v>
      </c>
      <c r="BV3541" t="str">
        <f t="shared" si="593"/>
        <v>Off</v>
      </c>
      <c r="BW3541" t="str">
        <f t="shared" si="593"/>
        <v>Off</v>
      </c>
      <c r="BX3541" t="str">
        <f t="shared" si="593"/>
        <v>Off</v>
      </c>
      <c r="BY3541" t="str">
        <f t="shared" si="593"/>
        <v>Off</v>
      </c>
      <c r="BZ3541" t="str">
        <f t="shared" si="593"/>
        <v>Off</v>
      </c>
      <c r="CA3541" t="str">
        <f t="shared" si="593"/>
        <v>Off</v>
      </c>
      <c r="CB3541" t="str">
        <f t="shared" si="593"/>
        <v>Off</v>
      </c>
      <c r="CC3541" t="str">
        <f t="shared" si="593"/>
        <v>Off</v>
      </c>
      <c r="CD3541" t="str">
        <f t="shared" si="593"/>
        <v>Off</v>
      </c>
      <c r="CE3541" t="str">
        <f t="shared" si="593"/>
        <v>Off</v>
      </c>
      <c r="CF3541" t="str">
        <f t="shared" si="593"/>
        <v>Off</v>
      </c>
      <c r="CG3541" t="str">
        <f t="shared" si="593"/>
        <v>Off</v>
      </c>
      <c r="CH3541" t="str">
        <f t="shared" si="593"/>
        <v>Off</v>
      </c>
      <c r="CI3541" t="str">
        <f t="shared" si="593"/>
        <v>Off</v>
      </c>
      <c r="CJ3541" t="str">
        <f t="shared" si="593"/>
        <v>Off</v>
      </c>
      <c r="CK3541" t="str">
        <f t="shared" si="593"/>
        <v>Off</v>
      </c>
      <c r="CL3541" t="str">
        <f t="shared" si="593"/>
        <v>Off</v>
      </c>
      <c r="CM3541" t="str">
        <f t="shared" si="593"/>
        <v>Off</v>
      </c>
      <c r="CN3541" t="str">
        <f t="shared" si="593"/>
        <v>Off</v>
      </c>
      <c r="CO3541" t="str">
        <f t="shared" si="593"/>
        <v>Off</v>
      </c>
      <c r="CP3541" t="str">
        <f t="shared" si="593"/>
        <v>Off</v>
      </c>
      <c r="CQ3541" t="str">
        <f t="shared" si="593"/>
        <v>Off</v>
      </c>
      <c r="CR3541" t="str">
        <f t="shared" si="593"/>
        <v>Off</v>
      </c>
      <c r="CS3541" t="str">
        <f t="shared" si="593"/>
        <v>Off</v>
      </c>
      <c r="CT3541" t="str">
        <f t="shared" ref="CT3541:DY3541" si="594">"Off"</f>
        <v>Off</v>
      </c>
      <c r="CU3541" t="str">
        <f t="shared" si="594"/>
        <v>Off</v>
      </c>
      <c r="CV3541" t="str">
        <f t="shared" si="594"/>
        <v>Off</v>
      </c>
      <c r="CW3541" t="str">
        <f t="shared" si="594"/>
        <v>Off</v>
      </c>
      <c r="CX3541" t="str">
        <f t="shared" si="594"/>
        <v>Off</v>
      </c>
      <c r="CY3541" t="str">
        <f t="shared" si="594"/>
        <v>Off</v>
      </c>
      <c r="CZ3541" t="str">
        <f t="shared" si="594"/>
        <v>Off</v>
      </c>
      <c r="DA3541" t="str">
        <f t="shared" si="594"/>
        <v>Off</v>
      </c>
      <c r="DB3541" t="str">
        <f t="shared" si="594"/>
        <v>Off</v>
      </c>
      <c r="DC3541" t="str">
        <f t="shared" si="594"/>
        <v>Off</v>
      </c>
      <c r="DD3541" t="str">
        <f t="shared" si="594"/>
        <v>Off</v>
      </c>
      <c r="DE3541" t="str">
        <f t="shared" si="594"/>
        <v>Off</v>
      </c>
      <c r="DF3541" t="str">
        <f t="shared" si="594"/>
        <v>Off</v>
      </c>
      <c r="DG3541" t="str">
        <f t="shared" si="594"/>
        <v>Off</v>
      </c>
      <c r="DH3541" t="str">
        <f t="shared" si="594"/>
        <v>Off</v>
      </c>
      <c r="DI3541" t="str">
        <f t="shared" si="594"/>
        <v>Off</v>
      </c>
      <c r="DJ3541" t="str">
        <f t="shared" si="594"/>
        <v>Off</v>
      </c>
      <c r="DK3541" t="str">
        <f t="shared" si="594"/>
        <v>Off</v>
      </c>
      <c r="DL3541" t="str">
        <f t="shared" si="594"/>
        <v>Off</v>
      </c>
      <c r="DM3541" t="str">
        <f t="shared" si="594"/>
        <v>Off</v>
      </c>
      <c r="DN3541" t="str">
        <f t="shared" si="594"/>
        <v>Off</v>
      </c>
      <c r="DO3541" t="str">
        <f t="shared" si="594"/>
        <v>Off</v>
      </c>
      <c r="DP3541" t="str">
        <f t="shared" si="594"/>
        <v>Off</v>
      </c>
      <c r="DQ3541" t="str">
        <f t="shared" si="594"/>
        <v>Off</v>
      </c>
      <c r="DR3541" t="str">
        <f t="shared" si="594"/>
        <v>Off</v>
      </c>
      <c r="DS3541" t="str">
        <f t="shared" si="594"/>
        <v>Off</v>
      </c>
      <c r="DT3541" t="str">
        <f t="shared" si="594"/>
        <v>Off</v>
      </c>
      <c r="DU3541" t="str">
        <f t="shared" si="594"/>
        <v>Off</v>
      </c>
      <c r="DV3541" t="str">
        <f t="shared" si="594"/>
        <v>Off</v>
      </c>
      <c r="DW3541" t="str">
        <f t="shared" si="594"/>
        <v>Off</v>
      </c>
      <c r="DX3541" t="str">
        <f t="shared" si="594"/>
        <v>Off</v>
      </c>
      <c r="DY3541" t="str">
        <f t="shared" si="594"/>
        <v>Off</v>
      </c>
    </row>
    <row r="3542" spans="1:129">
      <c r="A3542" t="s">
        <v>108</v>
      </c>
      <c r="B3542" t="str">
        <f t="shared" ref="B3542:H3542" si="595">"On"</f>
        <v>On</v>
      </c>
      <c r="C3542" t="str">
        <f t="shared" si="595"/>
        <v>On</v>
      </c>
      <c r="D3542" t="str">
        <f t="shared" si="595"/>
        <v>On</v>
      </c>
      <c r="E3542" t="str">
        <f t="shared" si="595"/>
        <v>On</v>
      </c>
      <c r="F3542" t="str">
        <f t="shared" si="595"/>
        <v>On</v>
      </c>
      <c r="G3542" t="str">
        <f t="shared" si="595"/>
        <v>On</v>
      </c>
      <c r="H3542" t="str">
        <f t="shared" si="595"/>
        <v>On</v>
      </c>
      <c r="I3542" t="str">
        <f>"Off"</f>
        <v>Off</v>
      </c>
      <c r="J3542" t="str">
        <f t="shared" ref="J3542:P3542" si="596">"On"</f>
        <v>On</v>
      </c>
      <c r="K3542" t="str">
        <f t="shared" si="596"/>
        <v>On</v>
      </c>
      <c r="L3542" t="str">
        <f t="shared" si="596"/>
        <v>On</v>
      </c>
      <c r="M3542" t="str">
        <f t="shared" si="596"/>
        <v>On</v>
      </c>
      <c r="N3542" t="str">
        <f t="shared" si="596"/>
        <v>On</v>
      </c>
      <c r="O3542" t="str">
        <f t="shared" si="596"/>
        <v>On</v>
      </c>
      <c r="P3542" t="str">
        <f t="shared" si="596"/>
        <v>On</v>
      </c>
      <c r="Q3542" t="str">
        <f>"Off"</f>
        <v>Off</v>
      </c>
      <c r="R3542" t="str">
        <f>"On"</f>
        <v>On</v>
      </c>
      <c r="S3542" t="str">
        <f>"On"</f>
        <v>On</v>
      </c>
      <c r="T3542" t="str">
        <f>"On"</f>
        <v>On</v>
      </c>
      <c r="U3542" t="str">
        <f>"On"</f>
        <v>On</v>
      </c>
      <c r="V3542" t="str">
        <f>"On"</f>
        <v>On</v>
      </c>
      <c r="W3542" t="str">
        <f>"Off"</f>
        <v>Off</v>
      </c>
      <c r="X3542" t="str">
        <f t="shared" ref="X3542:AC3542" si="597">"On"</f>
        <v>On</v>
      </c>
      <c r="Y3542" t="str">
        <f t="shared" si="597"/>
        <v>On</v>
      </c>
      <c r="Z3542" t="str">
        <f t="shared" si="597"/>
        <v>On</v>
      </c>
      <c r="AA3542" t="str">
        <f t="shared" si="597"/>
        <v>On</v>
      </c>
      <c r="AB3542" t="str">
        <f t="shared" si="597"/>
        <v>On</v>
      </c>
      <c r="AC3542" t="str">
        <f t="shared" si="597"/>
        <v>On</v>
      </c>
      <c r="AD3542" t="str">
        <f t="shared" si="591"/>
        <v>On</v>
      </c>
      <c r="AE3542" t="str">
        <f t="shared" si="591"/>
        <v>On</v>
      </c>
      <c r="AF3542" t="str">
        <f t="shared" si="591"/>
        <v>On</v>
      </c>
      <c r="AG3542" t="str">
        <f t="shared" si="591"/>
        <v>On</v>
      </c>
      <c r="AH3542" t="str">
        <f t="shared" ref="AH3542:AO3542" si="598">"On"</f>
        <v>On</v>
      </c>
      <c r="AI3542" t="str">
        <f t="shared" si="598"/>
        <v>On</v>
      </c>
      <c r="AJ3542" t="str">
        <f t="shared" si="598"/>
        <v>On</v>
      </c>
      <c r="AK3542" t="str">
        <f t="shared" si="598"/>
        <v>On</v>
      </c>
      <c r="AL3542" t="str">
        <f t="shared" si="598"/>
        <v>On</v>
      </c>
      <c r="AM3542" t="str">
        <f t="shared" si="598"/>
        <v>On</v>
      </c>
      <c r="AN3542" t="str">
        <f t="shared" si="598"/>
        <v>On</v>
      </c>
      <c r="AO3542" t="str">
        <f t="shared" si="598"/>
        <v>On</v>
      </c>
      <c r="AP3542" t="str">
        <f t="shared" ref="AP3542:BU3542" si="599">"Off"</f>
        <v>Off</v>
      </c>
      <c r="AQ3542" t="str">
        <f t="shared" si="599"/>
        <v>Off</v>
      </c>
      <c r="AR3542" t="str">
        <f t="shared" si="599"/>
        <v>Off</v>
      </c>
      <c r="AS3542" t="str">
        <f t="shared" si="599"/>
        <v>Off</v>
      </c>
      <c r="AT3542" t="str">
        <f t="shared" si="599"/>
        <v>Off</v>
      </c>
      <c r="AU3542" t="str">
        <f t="shared" si="599"/>
        <v>Off</v>
      </c>
      <c r="AV3542" t="str">
        <f t="shared" si="599"/>
        <v>Off</v>
      </c>
      <c r="AW3542" t="str">
        <f t="shared" si="599"/>
        <v>Off</v>
      </c>
      <c r="AX3542" t="str">
        <f t="shared" si="599"/>
        <v>Off</v>
      </c>
      <c r="AY3542" t="str">
        <f t="shared" si="599"/>
        <v>Off</v>
      </c>
      <c r="AZ3542" t="str">
        <f t="shared" si="599"/>
        <v>Off</v>
      </c>
      <c r="BA3542" t="str">
        <f t="shared" si="599"/>
        <v>Off</v>
      </c>
      <c r="BB3542" t="str">
        <f t="shared" si="599"/>
        <v>Off</v>
      </c>
      <c r="BC3542" t="str">
        <f t="shared" si="599"/>
        <v>Off</v>
      </c>
      <c r="BD3542" t="str">
        <f t="shared" si="599"/>
        <v>Off</v>
      </c>
      <c r="BE3542" t="str">
        <f t="shared" si="599"/>
        <v>Off</v>
      </c>
      <c r="BF3542" t="str">
        <f t="shared" si="599"/>
        <v>Off</v>
      </c>
      <c r="BG3542" t="str">
        <f t="shared" si="599"/>
        <v>Off</v>
      </c>
      <c r="BH3542" t="str">
        <f t="shared" si="599"/>
        <v>Off</v>
      </c>
      <c r="BI3542" t="str">
        <f t="shared" si="599"/>
        <v>Off</v>
      </c>
      <c r="BJ3542" t="str">
        <f t="shared" si="599"/>
        <v>Off</v>
      </c>
      <c r="BK3542" t="str">
        <f t="shared" si="599"/>
        <v>Off</v>
      </c>
      <c r="BL3542" t="str">
        <f t="shared" si="599"/>
        <v>Off</v>
      </c>
      <c r="BM3542" t="str">
        <f t="shared" si="599"/>
        <v>Off</v>
      </c>
      <c r="BN3542" t="str">
        <f t="shared" si="599"/>
        <v>Off</v>
      </c>
      <c r="BO3542" t="str">
        <f t="shared" si="599"/>
        <v>Off</v>
      </c>
      <c r="BP3542" t="str">
        <f t="shared" si="599"/>
        <v>Off</v>
      </c>
      <c r="BQ3542" t="str">
        <f t="shared" si="599"/>
        <v>Off</v>
      </c>
      <c r="BR3542" t="str">
        <f t="shared" si="599"/>
        <v>Off</v>
      </c>
      <c r="BS3542" t="str">
        <f t="shared" si="599"/>
        <v>Off</v>
      </c>
      <c r="BT3542" t="str">
        <f t="shared" si="599"/>
        <v>Off</v>
      </c>
      <c r="BU3542" t="str">
        <f t="shared" si="599"/>
        <v>Off</v>
      </c>
      <c r="BV3542" t="str">
        <f t="shared" ref="BV3542:DA3542" si="600">"Off"</f>
        <v>Off</v>
      </c>
      <c r="BW3542" t="str">
        <f t="shared" si="600"/>
        <v>Off</v>
      </c>
      <c r="BX3542" t="str">
        <f t="shared" si="600"/>
        <v>Off</v>
      </c>
      <c r="BY3542" t="str">
        <f t="shared" si="600"/>
        <v>Off</v>
      </c>
      <c r="BZ3542" t="str">
        <f t="shared" si="600"/>
        <v>Off</v>
      </c>
      <c r="CA3542" t="str">
        <f t="shared" si="600"/>
        <v>Off</v>
      </c>
      <c r="CB3542" t="str">
        <f t="shared" si="600"/>
        <v>Off</v>
      </c>
      <c r="CC3542" t="str">
        <f t="shared" si="600"/>
        <v>Off</v>
      </c>
      <c r="CD3542" t="str">
        <f t="shared" si="600"/>
        <v>Off</v>
      </c>
      <c r="CE3542" t="str">
        <f t="shared" si="600"/>
        <v>Off</v>
      </c>
      <c r="CF3542" t="str">
        <f t="shared" si="600"/>
        <v>Off</v>
      </c>
      <c r="CG3542" t="str">
        <f t="shared" si="600"/>
        <v>Off</v>
      </c>
      <c r="CH3542" t="str">
        <f t="shared" si="600"/>
        <v>Off</v>
      </c>
      <c r="CI3542" t="str">
        <f t="shared" si="600"/>
        <v>Off</v>
      </c>
      <c r="CJ3542" t="str">
        <f t="shared" si="600"/>
        <v>Off</v>
      </c>
      <c r="CK3542" t="str">
        <f t="shared" si="600"/>
        <v>Off</v>
      </c>
      <c r="CL3542" t="str">
        <f t="shared" si="600"/>
        <v>Off</v>
      </c>
      <c r="CM3542" t="str">
        <f t="shared" si="600"/>
        <v>Off</v>
      </c>
      <c r="CN3542" t="str">
        <f t="shared" si="600"/>
        <v>Off</v>
      </c>
      <c r="CO3542" t="str">
        <f t="shared" si="600"/>
        <v>Off</v>
      </c>
      <c r="CP3542" t="str">
        <f t="shared" si="600"/>
        <v>Off</v>
      </c>
      <c r="CQ3542" t="str">
        <f t="shared" si="600"/>
        <v>Off</v>
      </c>
      <c r="CR3542" t="str">
        <f t="shared" si="600"/>
        <v>Off</v>
      </c>
      <c r="CS3542" t="str">
        <f t="shared" si="600"/>
        <v>Off</v>
      </c>
      <c r="CT3542" t="str">
        <f t="shared" si="600"/>
        <v>Off</v>
      </c>
      <c r="CU3542" t="str">
        <f t="shared" si="600"/>
        <v>Off</v>
      </c>
      <c r="CV3542" t="str">
        <f t="shared" si="600"/>
        <v>Off</v>
      </c>
      <c r="CW3542" t="str">
        <f t="shared" si="600"/>
        <v>Off</v>
      </c>
      <c r="CX3542" t="str">
        <f t="shared" si="600"/>
        <v>Off</v>
      </c>
      <c r="CY3542" t="str">
        <f t="shared" si="600"/>
        <v>Off</v>
      </c>
      <c r="CZ3542" t="str">
        <f t="shared" si="600"/>
        <v>Off</v>
      </c>
      <c r="DA3542" t="str">
        <f t="shared" si="600"/>
        <v>Off</v>
      </c>
      <c r="DB3542" t="str">
        <f t="shared" ref="DB3542:DY3542" si="601">"Off"</f>
        <v>Off</v>
      </c>
      <c r="DC3542" t="str">
        <f t="shared" si="601"/>
        <v>Off</v>
      </c>
      <c r="DD3542" t="str">
        <f t="shared" si="601"/>
        <v>Off</v>
      </c>
      <c r="DE3542" t="str">
        <f t="shared" si="601"/>
        <v>Off</v>
      </c>
      <c r="DF3542" t="str">
        <f t="shared" si="601"/>
        <v>Off</v>
      </c>
      <c r="DG3542" t="str">
        <f t="shared" si="601"/>
        <v>Off</v>
      </c>
      <c r="DH3542" t="str">
        <f t="shared" si="601"/>
        <v>Off</v>
      </c>
      <c r="DI3542" t="str">
        <f t="shared" si="601"/>
        <v>Off</v>
      </c>
      <c r="DJ3542" t="str">
        <f t="shared" si="601"/>
        <v>Off</v>
      </c>
      <c r="DK3542" t="str">
        <f t="shared" si="601"/>
        <v>Off</v>
      </c>
      <c r="DL3542" t="str">
        <f t="shared" si="601"/>
        <v>Off</v>
      </c>
      <c r="DM3542" t="str">
        <f t="shared" si="601"/>
        <v>Off</v>
      </c>
      <c r="DN3542" t="str">
        <f t="shared" si="601"/>
        <v>Off</v>
      </c>
      <c r="DO3542" t="str">
        <f t="shared" si="601"/>
        <v>Off</v>
      </c>
      <c r="DP3542" t="str">
        <f t="shared" si="601"/>
        <v>Off</v>
      </c>
      <c r="DQ3542" t="str">
        <f t="shared" si="601"/>
        <v>Off</v>
      </c>
      <c r="DR3542" t="str">
        <f t="shared" si="601"/>
        <v>Off</v>
      </c>
      <c r="DS3542" t="str">
        <f t="shared" si="601"/>
        <v>Off</v>
      </c>
      <c r="DT3542" t="str">
        <f t="shared" si="601"/>
        <v>Off</v>
      </c>
      <c r="DU3542" t="str">
        <f t="shared" si="601"/>
        <v>Off</v>
      </c>
      <c r="DV3542" t="str">
        <f t="shared" si="601"/>
        <v>Off</v>
      </c>
      <c r="DW3542" t="str">
        <f t="shared" si="601"/>
        <v>Off</v>
      </c>
      <c r="DX3542" t="str">
        <f t="shared" si="601"/>
        <v>Off</v>
      </c>
      <c r="DY3542" t="str">
        <f t="shared" si="601"/>
        <v>Off</v>
      </c>
    </row>
    <row r="3543" spans="1:129">
      <c r="A3543" t="s">
        <v>2434</v>
      </c>
      <c r="B3543">
        <v>1</v>
      </c>
      <c r="C3543">
        <v>2</v>
      </c>
      <c r="D3543">
        <v>2</v>
      </c>
      <c r="E3543">
        <v>2</v>
      </c>
      <c r="F3543">
        <v>2</v>
      </c>
      <c r="G3543">
        <v>2</v>
      </c>
      <c r="H3543">
        <v>3</v>
      </c>
      <c r="I3543">
        <v>4</v>
      </c>
      <c r="J3543">
        <v>4</v>
      </c>
      <c r="K3543">
        <v>4</v>
      </c>
      <c r="L3543">
        <v>4</v>
      </c>
      <c r="M3543">
        <v>4</v>
      </c>
      <c r="N3543">
        <v>1</v>
      </c>
      <c r="O3543">
        <v>3</v>
      </c>
      <c r="P3543">
        <v>5</v>
      </c>
      <c r="Q3543">
        <v>6</v>
      </c>
      <c r="R3543">
        <v>6</v>
      </c>
      <c r="S3543">
        <v>6</v>
      </c>
      <c r="T3543">
        <v>6</v>
      </c>
      <c r="U3543">
        <v>6</v>
      </c>
      <c r="V3543">
        <v>7</v>
      </c>
      <c r="W3543">
        <v>8</v>
      </c>
      <c r="X3543">
        <v>8</v>
      </c>
      <c r="Y3543">
        <v>8</v>
      </c>
      <c r="Z3543">
        <v>8</v>
      </c>
      <c r="AA3543">
        <v>8</v>
      </c>
      <c r="AB3543">
        <v>5</v>
      </c>
      <c r="AC3543">
        <v>7</v>
      </c>
      <c r="AD3543">
        <v>2</v>
      </c>
      <c r="AE3543">
        <v>4</v>
      </c>
      <c r="AF3543">
        <v>6</v>
      </c>
      <c r="AG3543">
        <v>8</v>
      </c>
      <c r="AH3543">
        <v>1</v>
      </c>
      <c r="AI3543">
        <v>2</v>
      </c>
      <c r="AJ3543">
        <v>3</v>
      </c>
      <c r="AK3543">
        <v>4</v>
      </c>
      <c r="AL3543">
        <v>5</v>
      </c>
      <c r="AM3543">
        <v>6</v>
      </c>
      <c r="AN3543">
        <v>7</v>
      </c>
      <c r="AO3543">
        <v>8</v>
      </c>
      <c r="AP3543">
        <v>4</v>
      </c>
      <c r="AQ3543">
        <v>4</v>
      </c>
      <c r="AR3543">
        <v>8</v>
      </c>
      <c r="AS3543">
        <v>8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  <c r="BG3543">
        <v>0</v>
      </c>
      <c r="BH3543">
        <v>0</v>
      </c>
      <c r="BI3543">
        <v>0</v>
      </c>
      <c r="BJ3543">
        <v>0</v>
      </c>
      <c r="BK3543">
        <v>0</v>
      </c>
      <c r="BL3543">
        <v>0</v>
      </c>
      <c r="BM3543">
        <v>0</v>
      </c>
      <c r="BN3543">
        <v>0</v>
      </c>
      <c r="BO3543">
        <v>0</v>
      </c>
      <c r="BP3543">
        <v>0</v>
      </c>
      <c r="BQ3543">
        <v>0</v>
      </c>
      <c r="BR3543">
        <v>0</v>
      </c>
      <c r="BS3543">
        <v>0</v>
      </c>
      <c r="BT3543">
        <v>0</v>
      </c>
      <c r="BU3543">
        <v>0</v>
      </c>
      <c r="BV3543">
        <v>0</v>
      </c>
      <c r="BW3543">
        <v>0</v>
      </c>
      <c r="BX3543">
        <v>0</v>
      </c>
      <c r="BY3543">
        <v>0</v>
      </c>
      <c r="BZ3543">
        <v>0</v>
      </c>
      <c r="CA3543">
        <v>0</v>
      </c>
      <c r="CB3543">
        <v>0</v>
      </c>
      <c r="CC3543">
        <v>0</v>
      </c>
      <c r="CD3543">
        <v>0</v>
      </c>
      <c r="CE3543">
        <v>0</v>
      </c>
      <c r="CF3543">
        <v>0</v>
      </c>
      <c r="CG3543">
        <v>0</v>
      </c>
      <c r="CH3543">
        <v>0</v>
      </c>
      <c r="CI3543">
        <v>0</v>
      </c>
      <c r="CJ3543">
        <v>0</v>
      </c>
      <c r="CK3543">
        <v>0</v>
      </c>
      <c r="CL3543">
        <v>0</v>
      </c>
      <c r="CM3543">
        <v>0</v>
      </c>
      <c r="CN3543">
        <v>0</v>
      </c>
      <c r="CO3543">
        <v>0</v>
      </c>
      <c r="CP3543">
        <v>0</v>
      </c>
      <c r="CQ3543">
        <v>0</v>
      </c>
      <c r="CR3543">
        <v>0</v>
      </c>
      <c r="CS3543">
        <v>0</v>
      </c>
      <c r="CT3543">
        <v>0</v>
      </c>
      <c r="CU3543">
        <v>0</v>
      </c>
      <c r="CV3543">
        <v>0</v>
      </c>
      <c r="CW3543">
        <v>0</v>
      </c>
      <c r="CX3543">
        <v>0</v>
      </c>
      <c r="CY3543">
        <v>0</v>
      </c>
      <c r="CZ3543">
        <v>0</v>
      </c>
      <c r="DA3543">
        <v>0</v>
      </c>
      <c r="DB3543">
        <v>0</v>
      </c>
      <c r="DC3543">
        <v>0</v>
      </c>
      <c r="DD3543">
        <v>0</v>
      </c>
      <c r="DE3543">
        <v>0</v>
      </c>
      <c r="DF3543">
        <v>0</v>
      </c>
      <c r="DG3543">
        <v>0</v>
      </c>
      <c r="DH3543">
        <v>0</v>
      </c>
      <c r="DI3543">
        <v>0</v>
      </c>
      <c r="DJ3543">
        <v>0</v>
      </c>
      <c r="DK3543">
        <v>0</v>
      </c>
      <c r="DL3543">
        <v>0</v>
      </c>
      <c r="DM3543">
        <v>0</v>
      </c>
      <c r="DN3543">
        <v>0</v>
      </c>
      <c r="DO3543">
        <v>0</v>
      </c>
      <c r="DP3543">
        <v>0</v>
      </c>
      <c r="DQ3543">
        <v>0</v>
      </c>
      <c r="DR3543">
        <v>0</v>
      </c>
      <c r="DS3543">
        <v>0</v>
      </c>
      <c r="DT3543">
        <v>0</v>
      </c>
      <c r="DU3543">
        <v>0</v>
      </c>
      <c r="DV3543">
        <v>0</v>
      </c>
      <c r="DW3543">
        <v>0</v>
      </c>
      <c r="DX3543">
        <v>0</v>
      </c>
      <c r="DY3543">
        <v>0</v>
      </c>
    </row>
    <row r="3544" spans="1:129">
      <c r="A3544" t="s">
        <v>2783</v>
      </c>
      <c r="B3544">
        <v>0</v>
      </c>
      <c r="C3544">
        <v>5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15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15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15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15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v>0</v>
      </c>
      <c r="BH3544">
        <v>0</v>
      </c>
      <c r="BI3544">
        <v>0</v>
      </c>
      <c r="BJ3544">
        <v>0</v>
      </c>
      <c r="BK3544">
        <v>0</v>
      </c>
      <c r="BL3544">
        <v>0</v>
      </c>
      <c r="BM3544">
        <v>0</v>
      </c>
      <c r="BN3544">
        <v>0</v>
      </c>
      <c r="BO3544">
        <v>0</v>
      </c>
      <c r="BP3544">
        <v>0</v>
      </c>
      <c r="BQ3544">
        <v>0</v>
      </c>
      <c r="BR3544">
        <v>0</v>
      </c>
      <c r="BS3544">
        <v>0</v>
      </c>
      <c r="BT3544">
        <v>0</v>
      </c>
      <c r="BU3544">
        <v>0</v>
      </c>
      <c r="BV3544">
        <v>0</v>
      </c>
      <c r="BW3544">
        <v>0</v>
      </c>
      <c r="BX3544">
        <v>0</v>
      </c>
      <c r="BY3544">
        <v>0</v>
      </c>
      <c r="BZ3544">
        <v>0</v>
      </c>
      <c r="CA3544">
        <v>0</v>
      </c>
      <c r="CB3544">
        <v>0</v>
      </c>
      <c r="CC3544">
        <v>0</v>
      </c>
      <c r="CD3544">
        <v>0</v>
      </c>
      <c r="CE3544">
        <v>0</v>
      </c>
      <c r="CF3544">
        <v>0</v>
      </c>
      <c r="CG3544">
        <v>0</v>
      </c>
      <c r="CH3544">
        <v>0</v>
      </c>
      <c r="CI3544">
        <v>0</v>
      </c>
      <c r="CJ3544">
        <v>0</v>
      </c>
      <c r="CK3544">
        <v>0</v>
      </c>
      <c r="CL3544">
        <v>0</v>
      </c>
      <c r="CM3544">
        <v>0</v>
      </c>
      <c r="CN3544">
        <v>0</v>
      </c>
      <c r="CO3544">
        <v>0</v>
      </c>
      <c r="CP3544">
        <v>0</v>
      </c>
      <c r="CQ3544">
        <v>0</v>
      </c>
      <c r="CR3544">
        <v>0</v>
      </c>
      <c r="CS3544">
        <v>0</v>
      </c>
      <c r="CT3544">
        <v>0</v>
      </c>
      <c r="CU3544">
        <v>0</v>
      </c>
      <c r="CV3544">
        <v>0</v>
      </c>
      <c r="CW3544">
        <v>0</v>
      </c>
      <c r="CX3544">
        <v>0</v>
      </c>
      <c r="CY3544">
        <v>0</v>
      </c>
      <c r="CZ3544">
        <v>0</v>
      </c>
      <c r="DA3544">
        <v>0</v>
      </c>
      <c r="DB3544">
        <v>0</v>
      </c>
      <c r="DC3544">
        <v>0</v>
      </c>
      <c r="DD3544">
        <v>0</v>
      </c>
      <c r="DE3544">
        <v>0</v>
      </c>
      <c r="DF3544">
        <v>0</v>
      </c>
      <c r="DG3544">
        <v>0</v>
      </c>
      <c r="DH3544">
        <v>0</v>
      </c>
      <c r="DI3544">
        <v>0</v>
      </c>
      <c r="DJ3544">
        <v>0</v>
      </c>
      <c r="DK3544">
        <v>0</v>
      </c>
      <c r="DL3544">
        <v>0</v>
      </c>
      <c r="DM3544">
        <v>0</v>
      </c>
      <c r="DN3544">
        <v>0</v>
      </c>
      <c r="DO3544">
        <v>0</v>
      </c>
      <c r="DP3544">
        <v>0</v>
      </c>
      <c r="DQ3544">
        <v>0</v>
      </c>
      <c r="DR3544">
        <v>0</v>
      </c>
      <c r="DS3544">
        <v>0</v>
      </c>
      <c r="DT3544">
        <v>0</v>
      </c>
      <c r="DU3544">
        <v>0</v>
      </c>
      <c r="DV3544">
        <v>0</v>
      </c>
      <c r="DW3544">
        <v>0</v>
      </c>
      <c r="DX3544">
        <v>0</v>
      </c>
      <c r="DY3544">
        <v>0</v>
      </c>
    </row>
    <row r="3545" spans="1:129">
      <c r="A3545" t="s">
        <v>3593</v>
      </c>
      <c r="B3545">
        <v>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v>0</v>
      </c>
      <c r="BH3545">
        <v>0</v>
      </c>
      <c r="BI3545">
        <v>0</v>
      </c>
      <c r="BJ3545">
        <v>0</v>
      </c>
      <c r="BK3545">
        <v>0</v>
      </c>
      <c r="BL3545">
        <v>0</v>
      </c>
      <c r="BM3545">
        <v>0</v>
      </c>
      <c r="BN3545">
        <v>0</v>
      </c>
      <c r="BO3545">
        <v>0</v>
      </c>
      <c r="BP3545">
        <v>0</v>
      </c>
      <c r="BQ3545">
        <v>0</v>
      </c>
      <c r="BR3545">
        <v>0</v>
      </c>
      <c r="BS3545">
        <v>0</v>
      </c>
      <c r="BT3545">
        <v>0</v>
      </c>
      <c r="BU3545">
        <v>0</v>
      </c>
      <c r="BV3545">
        <v>0</v>
      </c>
      <c r="BW3545">
        <v>0</v>
      </c>
      <c r="BX3545">
        <v>0</v>
      </c>
      <c r="BY3545">
        <v>0</v>
      </c>
      <c r="BZ3545">
        <v>0</v>
      </c>
      <c r="CA3545">
        <v>0</v>
      </c>
      <c r="CB3545">
        <v>0</v>
      </c>
      <c r="CC3545">
        <v>0</v>
      </c>
      <c r="CD3545">
        <v>0</v>
      </c>
      <c r="CE3545">
        <v>0</v>
      </c>
      <c r="CF3545">
        <v>0</v>
      </c>
      <c r="CG3545">
        <v>0</v>
      </c>
      <c r="CH3545">
        <v>0</v>
      </c>
      <c r="CI3545">
        <v>0</v>
      </c>
      <c r="CJ3545">
        <v>0</v>
      </c>
      <c r="CK3545">
        <v>0</v>
      </c>
      <c r="CL3545">
        <v>0</v>
      </c>
      <c r="CM3545">
        <v>0</v>
      </c>
      <c r="CN3545">
        <v>0</v>
      </c>
      <c r="CO3545">
        <v>0</v>
      </c>
      <c r="CP3545">
        <v>0</v>
      </c>
      <c r="CQ3545">
        <v>0</v>
      </c>
      <c r="CR3545">
        <v>0</v>
      </c>
      <c r="CS3545">
        <v>0</v>
      </c>
      <c r="CT3545">
        <v>0</v>
      </c>
      <c r="CU3545">
        <v>0</v>
      </c>
      <c r="CV3545">
        <v>0</v>
      </c>
      <c r="CW3545">
        <v>0</v>
      </c>
      <c r="CX3545">
        <v>0</v>
      </c>
      <c r="CY3545">
        <v>0</v>
      </c>
      <c r="CZ3545">
        <v>0</v>
      </c>
      <c r="DA3545">
        <v>0</v>
      </c>
      <c r="DB3545">
        <v>0</v>
      </c>
      <c r="DC3545">
        <v>0</v>
      </c>
      <c r="DD3545">
        <v>0</v>
      </c>
      <c r="DE3545">
        <v>0</v>
      </c>
      <c r="DF3545">
        <v>0</v>
      </c>
      <c r="DG3545">
        <v>0</v>
      </c>
      <c r="DH3545">
        <v>0</v>
      </c>
      <c r="DI3545">
        <v>0</v>
      </c>
      <c r="DJ3545">
        <v>0</v>
      </c>
      <c r="DK3545">
        <v>0</v>
      </c>
      <c r="DL3545">
        <v>0</v>
      </c>
      <c r="DM3545">
        <v>0</v>
      </c>
      <c r="DN3545">
        <v>0</v>
      </c>
      <c r="DO3545">
        <v>0</v>
      </c>
      <c r="DP3545">
        <v>0</v>
      </c>
      <c r="DQ3545">
        <v>0</v>
      </c>
      <c r="DR3545">
        <v>0</v>
      </c>
      <c r="DS3545">
        <v>0</v>
      </c>
      <c r="DT3545">
        <v>0</v>
      </c>
      <c r="DU3545">
        <v>0</v>
      </c>
      <c r="DV3545">
        <v>0</v>
      </c>
      <c r="DW3545">
        <v>0</v>
      </c>
      <c r="DX3545">
        <v>0</v>
      </c>
      <c r="DY3545">
        <v>0</v>
      </c>
    </row>
    <row r="3546" spans="1:129">
      <c r="A3546" t="s">
        <v>3594</v>
      </c>
      <c r="B3546" t="str">
        <f>"On"</f>
        <v>On</v>
      </c>
      <c r="C3546" t="str">
        <f>"On"</f>
        <v>On</v>
      </c>
      <c r="D3546" t="str">
        <f>"On"</f>
        <v>On</v>
      </c>
      <c r="E3546" t="str">
        <f>"Off"</f>
        <v>Off</v>
      </c>
      <c r="F3546" t="str">
        <f>"Off"</f>
        <v>Off</v>
      </c>
      <c r="G3546" t="str">
        <f>"On"</f>
        <v>On</v>
      </c>
      <c r="H3546" t="str">
        <f>"On"</f>
        <v>On</v>
      </c>
      <c r="I3546" t="str">
        <f>"On"</f>
        <v>On</v>
      </c>
      <c r="J3546" t="str">
        <f>"Off"</f>
        <v>Off</v>
      </c>
      <c r="K3546" t="str">
        <f>"Off"</f>
        <v>Off</v>
      </c>
      <c r="L3546" t="str">
        <f>"Off"</f>
        <v>Off</v>
      </c>
      <c r="M3546" t="str">
        <f>"Off"</f>
        <v>Off</v>
      </c>
      <c r="N3546" t="str">
        <f>"On"</f>
        <v>On</v>
      </c>
      <c r="O3546" t="str">
        <f>"On"</f>
        <v>On</v>
      </c>
      <c r="P3546" t="str">
        <f>"On"</f>
        <v>On</v>
      </c>
      <c r="Q3546" t="str">
        <f>"On"</f>
        <v>On</v>
      </c>
      <c r="R3546" t="str">
        <f>"Off"</f>
        <v>Off</v>
      </c>
      <c r="S3546" t="str">
        <f>"Off"</f>
        <v>Off</v>
      </c>
      <c r="T3546" t="str">
        <f>"Off"</f>
        <v>Off</v>
      </c>
      <c r="U3546" t="str">
        <f>"Off"</f>
        <v>Off</v>
      </c>
      <c r="V3546" t="str">
        <f>"On"</f>
        <v>On</v>
      </c>
      <c r="W3546" t="str">
        <f>"On"</f>
        <v>On</v>
      </c>
      <c r="X3546" t="str">
        <f>"Off"</f>
        <v>Off</v>
      </c>
      <c r="Y3546" t="str">
        <f>"Off"</f>
        <v>Off</v>
      </c>
      <c r="Z3546" t="str">
        <f>"Off"</f>
        <v>Off</v>
      </c>
      <c r="AA3546" t="str">
        <f>"Off"</f>
        <v>Off</v>
      </c>
      <c r="AB3546" t="str">
        <f>"On"</f>
        <v>On</v>
      </c>
      <c r="AC3546" t="str">
        <f>"On"</f>
        <v>On</v>
      </c>
      <c r="AD3546" t="str">
        <f>"Off"</f>
        <v>Off</v>
      </c>
      <c r="AE3546" t="str">
        <f>"Off"</f>
        <v>Off</v>
      </c>
      <c r="AF3546" t="str">
        <f>"Off"</f>
        <v>Off</v>
      </c>
      <c r="AG3546" t="str">
        <f>"Off"</f>
        <v>Off</v>
      </c>
      <c r="AH3546" t="str">
        <f>"On"</f>
        <v>On</v>
      </c>
      <c r="AI3546" t="str">
        <f>"On"</f>
        <v>On</v>
      </c>
      <c r="AJ3546" t="str">
        <f>"On"</f>
        <v>On</v>
      </c>
      <c r="AK3546" t="str">
        <f>"Off"</f>
        <v>Off</v>
      </c>
      <c r="AL3546" t="str">
        <f>"On"</f>
        <v>On</v>
      </c>
      <c r="AM3546" t="str">
        <f>"Off"</f>
        <v>Off</v>
      </c>
      <c r="AN3546" t="str">
        <f>"On"</f>
        <v>On</v>
      </c>
      <c r="AO3546" t="str">
        <f>"Off"</f>
        <v>Off</v>
      </c>
      <c r="AP3546" t="str">
        <f>"On"</f>
        <v>On</v>
      </c>
      <c r="AQ3546" t="str">
        <f>"On"</f>
        <v>On</v>
      </c>
      <c r="AR3546" t="str">
        <f>"On"</f>
        <v>On</v>
      </c>
      <c r="AS3546" t="str">
        <f>"On"</f>
        <v>On</v>
      </c>
      <c r="AT3546" t="str">
        <f t="shared" ref="AT3546:BY3546" si="602">"Off"</f>
        <v>Off</v>
      </c>
      <c r="AU3546" t="str">
        <f t="shared" si="602"/>
        <v>Off</v>
      </c>
      <c r="AV3546" t="str">
        <f t="shared" si="602"/>
        <v>Off</v>
      </c>
      <c r="AW3546" t="str">
        <f t="shared" si="602"/>
        <v>Off</v>
      </c>
      <c r="AX3546" t="str">
        <f t="shared" si="602"/>
        <v>Off</v>
      </c>
      <c r="AY3546" t="str">
        <f t="shared" si="602"/>
        <v>Off</v>
      </c>
      <c r="AZ3546" t="str">
        <f t="shared" si="602"/>
        <v>Off</v>
      </c>
      <c r="BA3546" t="str">
        <f t="shared" si="602"/>
        <v>Off</v>
      </c>
      <c r="BB3546" t="str">
        <f t="shared" si="602"/>
        <v>Off</v>
      </c>
      <c r="BC3546" t="str">
        <f t="shared" si="602"/>
        <v>Off</v>
      </c>
      <c r="BD3546" t="str">
        <f t="shared" si="602"/>
        <v>Off</v>
      </c>
      <c r="BE3546" t="str">
        <f t="shared" si="602"/>
        <v>Off</v>
      </c>
      <c r="BF3546" t="str">
        <f t="shared" si="602"/>
        <v>Off</v>
      </c>
      <c r="BG3546" t="str">
        <f t="shared" si="602"/>
        <v>Off</v>
      </c>
      <c r="BH3546" t="str">
        <f t="shared" si="602"/>
        <v>Off</v>
      </c>
      <c r="BI3546" t="str">
        <f t="shared" si="602"/>
        <v>Off</v>
      </c>
      <c r="BJ3546" t="str">
        <f t="shared" si="602"/>
        <v>Off</v>
      </c>
      <c r="BK3546" t="str">
        <f t="shared" si="602"/>
        <v>Off</v>
      </c>
      <c r="BL3546" t="str">
        <f t="shared" si="602"/>
        <v>Off</v>
      </c>
      <c r="BM3546" t="str">
        <f t="shared" si="602"/>
        <v>Off</v>
      </c>
      <c r="BN3546" t="str">
        <f t="shared" si="602"/>
        <v>Off</v>
      </c>
      <c r="BO3546" t="str">
        <f t="shared" si="602"/>
        <v>Off</v>
      </c>
      <c r="BP3546" t="str">
        <f t="shared" si="602"/>
        <v>Off</v>
      </c>
      <c r="BQ3546" t="str">
        <f t="shared" si="602"/>
        <v>Off</v>
      </c>
      <c r="BR3546" t="str">
        <f t="shared" si="602"/>
        <v>Off</v>
      </c>
      <c r="BS3546" t="str">
        <f t="shared" si="602"/>
        <v>Off</v>
      </c>
      <c r="BT3546" t="str">
        <f t="shared" si="602"/>
        <v>Off</v>
      </c>
      <c r="BU3546" t="str">
        <f t="shared" si="602"/>
        <v>Off</v>
      </c>
      <c r="BV3546" t="str">
        <f t="shared" si="602"/>
        <v>Off</v>
      </c>
      <c r="BW3546" t="str">
        <f t="shared" si="602"/>
        <v>Off</v>
      </c>
      <c r="BX3546" t="str">
        <f t="shared" si="602"/>
        <v>Off</v>
      </c>
      <c r="BY3546" t="str">
        <f t="shared" si="602"/>
        <v>Off</v>
      </c>
      <c r="BZ3546" t="str">
        <f t="shared" ref="BZ3546:DE3546" si="603">"Off"</f>
        <v>Off</v>
      </c>
      <c r="CA3546" t="str">
        <f t="shared" si="603"/>
        <v>Off</v>
      </c>
      <c r="CB3546" t="str">
        <f t="shared" si="603"/>
        <v>Off</v>
      </c>
      <c r="CC3546" t="str">
        <f t="shared" si="603"/>
        <v>Off</v>
      </c>
      <c r="CD3546" t="str">
        <f t="shared" si="603"/>
        <v>Off</v>
      </c>
      <c r="CE3546" t="str">
        <f t="shared" si="603"/>
        <v>Off</v>
      </c>
      <c r="CF3546" t="str">
        <f t="shared" si="603"/>
        <v>Off</v>
      </c>
      <c r="CG3546" t="str">
        <f t="shared" si="603"/>
        <v>Off</v>
      </c>
      <c r="CH3546" t="str">
        <f t="shared" si="603"/>
        <v>Off</v>
      </c>
      <c r="CI3546" t="str">
        <f t="shared" si="603"/>
        <v>Off</v>
      </c>
      <c r="CJ3546" t="str">
        <f t="shared" si="603"/>
        <v>Off</v>
      </c>
      <c r="CK3546" t="str">
        <f t="shared" si="603"/>
        <v>Off</v>
      </c>
      <c r="CL3546" t="str">
        <f t="shared" si="603"/>
        <v>Off</v>
      </c>
      <c r="CM3546" t="str">
        <f t="shared" si="603"/>
        <v>Off</v>
      </c>
      <c r="CN3546" t="str">
        <f t="shared" si="603"/>
        <v>Off</v>
      </c>
      <c r="CO3546" t="str">
        <f t="shared" si="603"/>
        <v>Off</v>
      </c>
      <c r="CP3546" t="str">
        <f t="shared" si="603"/>
        <v>Off</v>
      </c>
      <c r="CQ3546" t="str">
        <f t="shared" si="603"/>
        <v>Off</v>
      </c>
      <c r="CR3546" t="str">
        <f t="shared" si="603"/>
        <v>Off</v>
      </c>
      <c r="CS3546" t="str">
        <f t="shared" si="603"/>
        <v>Off</v>
      </c>
      <c r="CT3546" t="str">
        <f t="shared" si="603"/>
        <v>Off</v>
      </c>
      <c r="CU3546" t="str">
        <f t="shared" si="603"/>
        <v>Off</v>
      </c>
      <c r="CV3546" t="str">
        <f t="shared" si="603"/>
        <v>Off</v>
      </c>
      <c r="CW3546" t="str">
        <f t="shared" si="603"/>
        <v>Off</v>
      </c>
      <c r="CX3546" t="str">
        <f t="shared" si="603"/>
        <v>Off</v>
      </c>
      <c r="CY3546" t="str">
        <f t="shared" si="603"/>
        <v>Off</v>
      </c>
      <c r="CZ3546" t="str">
        <f t="shared" si="603"/>
        <v>Off</v>
      </c>
      <c r="DA3546" t="str">
        <f t="shared" si="603"/>
        <v>Off</v>
      </c>
      <c r="DB3546" t="str">
        <f t="shared" si="603"/>
        <v>Off</v>
      </c>
      <c r="DC3546" t="str">
        <f t="shared" si="603"/>
        <v>Off</v>
      </c>
      <c r="DD3546" t="str">
        <f t="shared" si="603"/>
        <v>Off</v>
      </c>
      <c r="DE3546" t="str">
        <f t="shared" si="603"/>
        <v>Off</v>
      </c>
      <c r="DF3546" t="str">
        <f t="shared" ref="DF3546:DY3546" si="604">"Off"</f>
        <v>Off</v>
      </c>
      <c r="DG3546" t="str">
        <f t="shared" si="604"/>
        <v>Off</v>
      </c>
      <c r="DH3546" t="str">
        <f t="shared" si="604"/>
        <v>Off</v>
      </c>
      <c r="DI3546" t="str">
        <f t="shared" si="604"/>
        <v>Off</v>
      </c>
      <c r="DJ3546" t="str">
        <f t="shared" si="604"/>
        <v>Off</v>
      </c>
      <c r="DK3546" t="str">
        <f t="shared" si="604"/>
        <v>Off</v>
      </c>
      <c r="DL3546" t="str">
        <f t="shared" si="604"/>
        <v>Off</v>
      </c>
      <c r="DM3546" t="str">
        <f t="shared" si="604"/>
        <v>Off</v>
      </c>
      <c r="DN3546" t="str">
        <f t="shared" si="604"/>
        <v>Off</v>
      </c>
      <c r="DO3546" t="str">
        <f t="shared" si="604"/>
        <v>Off</v>
      </c>
      <c r="DP3546" t="str">
        <f t="shared" si="604"/>
        <v>Off</v>
      </c>
      <c r="DQ3546" t="str">
        <f t="shared" si="604"/>
        <v>Off</v>
      </c>
      <c r="DR3546" t="str">
        <f t="shared" si="604"/>
        <v>Off</v>
      </c>
      <c r="DS3546" t="str">
        <f t="shared" si="604"/>
        <v>Off</v>
      </c>
      <c r="DT3546" t="str">
        <f t="shared" si="604"/>
        <v>Off</v>
      </c>
      <c r="DU3546" t="str">
        <f t="shared" si="604"/>
        <v>Off</v>
      </c>
      <c r="DV3546" t="str">
        <f t="shared" si="604"/>
        <v>Off</v>
      </c>
      <c r="DW3546" t="str">
        <f t="shared" si="604"/>
        <v>Off</v>
      </c>
      <c r="DX3546" t="str">
        <f t="shared" si="604"/>
        <v>Off</v>
      </c>
      <c r="DY3546" t="str">
        <f t="shared" si="604"/>
        <v>Off</v>
      </c>
    </row>
    <row r="3547" spans="1:129">
      <c r="A3547" t="s">
        <v>3595</v>
      </c>
      <c r="B3547">
        <v>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2</v>
      </c>
      <c r="K3547">
        <v>2</v>
      </c>
      <c r="L3547">
        <v>2</v>
      </c>
      <c r="M3547">
        <v>2</v>
      </c>
      <c r="N3547">
        <v>0</v>
      </c>
      <c r="O3547">
        <v>0</v>
      </c>
      <c r="P3547">
        <v>0</v>
      </c>
      <c r="Q3547">
        <v>0</v>
      </c>
      <c r="R3547">
        <v>2</v>
      </c>
      <c r="S3547">
        <v>2</v>
      </c>
      <c r="T3547">
        <v>2</v>
      </c>
      <c r="U3547">
        <v>2</v>
      </c>
      <c r="V3547">
        <v>0</v>
      </c>
      <c r="W3547">
        <v>0</v>
      </c>
      <c r="X3547">
        <v>2</v>
      </c>
      <c r="Y3547">
        <v>2</v>
      </c>
      <c r="Z3547">
        <v>2</v>
      </c>
      <c r="AA3547">
        <v>2</v>
      </c>
      <c r="AB3547">
        <v>0</v>
      </c>
      <c r="AC3547">
        <v>0</v>
      </c>
      <c r="AD3547">
        <v>0</v>
      </c>
      <c r="AE3547">
        <v>0</v>
      </c>
      <c r="AF3547">
        <v>0</v>
      </c>
      <c r="AG3547">
        <v>0</v>
      </c>
      <c r="AH3547">
        <v>0</v>
      </c>
      <c r="AI3547">
        <v>0</v>
      </c>
      <c r="AJ3547">
        <v>0</v>
      </c>
      <c r="AK3547">
        <v>2</v>
      </c>
      <c r="AL3547">
        <v>0</v>
      </c>
      <c r="AM3547">
        <v>2</v>
      </c>
      <c r="AN3547">
        <v>0</v>
      </c>
      <c r="AO3547">
        <v>2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  <c r="BG3547">
        <v>0</v>
      </c>
      <c r="BH3547">
        <v>0</v>
      </c>
      <c r="BI3547">
        <v>0</v>
      </c>
      <c r="BJ3547">
        <v>0</v>
      </c>
      <c r="BK3547">
        <v>0</v>
      </c>
      <c r="BL3547">
        <v>0</v>
      </c>
      <c r="BM3547">
        <v>0</v>
      </c>
      <c r="BN3547">
        <v>0</v>
      </c>
      <c r="BO3547">
        <v>0</v>
      </c>
      <c r="BP3547">
        <v>0</v>
      </c>
      <c r="BQ3547">
        <v>0</v>
      </c>
      <c r="BR3547">
        <v>0</v>
      </c>
      <c r="BS3547">
        <v>0</v>
      </c>
      <c r="BT3547">
        <v>0</v>
      </c>
      <c r="BU3547">
        <v>0</v>
      </c>
      <c r="BV3547">
        <v>0</v>
      </c>
      <c r="BW3547">
        <v>0</v>
      </c>
      <c r="BX3547">
        <v>0</v>
      </c>
      <c r="BY3547">
        <v>0</v>
      </c>
      <c r="BZ3547">
        <v>0</v>
      </c>
      <c r="CA3547">
        <v>0</v>
      </c>
      <c r="CB3547">
        <v>0</v>
      </c>
      <c r="CC3547">
        <v>0</v>
      </c>
      <c r="CD3547">
        <v>0</v>
      </c>
      <c r="CE3547">
        <v>0</v>
      </c>
      <c r="CF3547">
        <v>0</v>
      </c>
      <c r="CG3547">
        <v>0</v>
      </c>
      <c r="CH3547">
        <v>0</v>
      </c>
      <c r="CI3547">
        <v>0</v>
      </c>
      <c r="CJ3547">
        <v>0</v>
      </c>
      <c r="CK3547">
        <v>0</v>
      </c>
      <c r="CL3547">
        <v>0</v>
      </c>
      <c r="CM3547">
        <v>0</v>
      </c>
      <c r="CN3547">
        <v>0</v>
      </c>
      <c r="CO3547">
        <v>0</v>
      </c>
      <c r="CP3547">
        <v>0</v>
      </c>
      <c r="CQ3547">
        <v>0</v>
      </c>
      <c r="CR3547">
        <v>0</v>
      </c>
      <c r="CS3547">
        <v>0</v>
      </c>
      <c r="CT3547">
        <v>0</v>
      </c>
      <c r="CU3547">
        <v>0</v>
      </c>
      <c r="CV3547">
        <v>0</v>
      </c>
      <c r="CW3547">
        <v>0</v>
      </c>
      <c r="CX3547">
        <v>0</v>
      </c>
      <c r="CY3547">
        <v>0</v>
      </c>
      <c r="CZ3547">
        <v>0</v>
      </c>
      <c r="DA3547">
        <v>0</v>
      </c>
      <c r="DB3547">
        <v>0</v>
      </c>
      <c r="DC3547">
        <v>0</v>
      </c>
      <c r="DD3547">
        <v>0</v>
      </c>
      <c r="DE3547">
        <v>0</v>
      </c>
      <c r="DF3547">
        <v>0</v>
      </c>
      <c r="DG3547">
        <v>0</v>
      </c>
      <c r="DH3547">
        <v>0</v>
      </c>
      <c r="DI3547">
        <v>0</v>
      </c>
      <c r="DJ3547">
        <v>0</v>
      </c>
      <c r="DK3547">
        <v>0</v>
      </c>
      <c r="DL3547">
        <v>0</v>
      </c>
      <c r="DM3547">
        <v>0</v>
      </c>
      <c r="DN3547">
        <v>0</v>
      </c>
      <c r="DO3547">
        <v>0</v>
      </c>
      <c r="DP3547">
        <v>0</v>
      </c>
      <c r="DQ3547">
        <v>0</v>
      </c>
      <c r="DR3547">
        <v>0</v>
      </c>
      <c r="DS3547">
        <v>0</v>
      </c>
      <c r="DT3547">
        <v>0</v>
      </c>
      <c r="DU3547">
        <v>0</v>
      </c>
      <c r="DV3547">
        <v>0</v>
      </c>
      <c r="DW3547">
        <v>0</v>
      </c>
      <c r="DX3547">
        <v>0</v>
      </c>
      <c r="DY3547">
        <v>0</v>
      </c>
    </row>
    <row r="3548" spans="1:129">
      <c r="A3548" t="s">
        <v>3596</v>
      </c>
      <c r="B3548">
        <v>255</v>
      </c>
      <c r="C3548">
        <v>255</v>
      </c>
      <c r="D3548">
        <v>255</v>
      </c>
      <c r="E3548">
        <v>255</v>
      </c>
      <c r="F3548">
        <v>255</v>
      </c>
      <c r="G3548">
        <v>255</v>
      </c>
      <c r="H3548">
        <v>255</v>
      </c>
      <c r="I3548">
        <v>255</v>
      </c>
      <c r="J3548">
        <v>255</v>
      </c>
      <c r="K3548">
        <v>255</v>
      </c>
      <c r="L3548">
        <v>255</v>
      </c>
      <c r="M3548">
        <v>255</v>
      </c>
      <c r="N3548">
        <v>255</v>
      </c>
      <c r="O3548">
        <v>255</v>
      </c>
      <c r="P3548">
        <v>255</v>
      </c>
      <c r="Q3548">
        <v>255</v>
      </c>
      <c r="R3548">
        <v>255</v>
      </c>
      <c r="S3548">
        <v>255</v>
      </c>
      <c r="T3548">
        <v>255</v>
      </c>
      <c r="U3548">
        <v>255</v>
      </c>
      <c r="V3548">
        <v>255</v>
      </c>
      <c r="W3548">
        <v>255</v>
      </c>
      <c r="X3548">
        <v>255</v>
      </c>
      <c r="Y3548">
        <v>255</v>
      </c>
      <c r="Z3548">
        <v>255</v>
      </c>
      <c r="AA3548">
        <v>255</v>
      </c>
      <c r="AB3548">
        <v>255</v>
      </c>
      <c r="AC3548">
        <v>255</v>
      </c>
      <c r="AD3548">
        <v>255</v>
      </c>
      <c r="AE3548">
        <v>255</v>
      </c>
      <c r="AF3548">
        <v>255</v>
      </c>
      <c r="AG3548">
        <v>255</v>
      </c>
      <c r="AH3548">
        <v>255</v>
      </c>
      <c r="AI3548">
        <v>255</v>
      </c>
      <c r="AJ3548">
        <v>255</v>
      </c>
      <c r="AK3548">
        <v>255</v>
      </c>
      <c r="AL3548">
        <v>255</v>
      </c>
      <c r="AM3548">
        <v>255</v>
      </c>
      <c r="AN3548">
        <v>255</v>
      </c>
      <c r="AO3548">
        <v>255</v>
      </c>
      <c r="AP3548">
        <v>255</v>
      </c>
      <c r="AQ3548">
        <v>255</v>
      </c>
      <c r="AR3548">
        <v>255</v>
      </c>
      <c r="AS3548">
        <v>255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v>0</v>
      </c>
      <c r="BH3548">
        <v>0</v>
      </c>
      <c r="BI3548">
        <v>0</v>
      </c>
      <c r="BJ3548">
        <v>0</v>
      </c>
      <c r="BK3548">
        <v>0</v>
      </c>
      <c r="BL3548">
        <v>0</v>
      </c>
      <c r="BM3548">
        <v>0</v>
      </c>
      <c r="BN3548">
        <v>0</v>
      </c>
      <c r="BO3548">
        <v>0</v>
      </c>
      <c r="BP3548">
        <v>0</v>
      </c>
      <c r="BQ3548">
        <v>0</v>
      </c>
      <c r="BR3548">
        <v>0</v>
      </c>
      <c r="BS3548">
        <v>0</v>
      </c>
      <c r="BT3548">
        <v>0</v>
      </c>
      <c r="BU3548">
        <v>0</v>
      </c>
      <c r="BV3548">
        <v>0</v>
      </c>
      <c r="BW3548">
        <v>0</v>
      </c>
      <c r="BX3548">
        <v>0</v>
      </c>
      <c r="BY3548">
        <v>0</v>
      </c>
      <c r="BZ3548">
        <v>0</v>
      </c>
      <c r="CA3548">
        <v>0</v>
      </c>
      <c r="CB3548">
        <v>0</v>
      </c>
      <c r="CC3548">
        <v>0</v>
      </c>
      <c r="CD3548">
        <v>0</v>
      </c>
      <c r="CE3548">
        <v>0</v>
      </c>
      <c r="CF3548">
        <v>0</v>
      </c>
      <c r="CG3548">
        <v>0</v>
      </c>
      <c r="CH3548">
        <v>0</v>
      </c>
      <c r="CI3548">
        <v>0</v>
      </c>
      <c r="CJ3548">
        <v>0</v>
      </c>
      <c r="CK3548">
        <v>0</v>
      </c>
      <c r="CL3548">
        <v>0</v>
      </c>
      <c r="CM3548">
        <v>0</v>
      </c>
      <c r="CN3548">
        <v>0</v>
      </c>
      <c r="CO3548">
        <v>0</v>
      </c>
      <c r="CP3548">
        <v>0</v>
      </c>
      <c r="CQ3548">
        <v>0</v>
      </c>
      <c r="CR3548">
        <v>0</v>
      </c>
      <c r="CS3548">
        <v>0</v>
      </c>
      <c r="CT3548">
        <v>0</v>
      </c>
      <c r="CU3548">
        <v>0</v>
      </c>
      <c r="CV3548">
        <v>0</v>
      </c>
      <c r="CW3548">
        <v>0</v>
      </c>
      <c r="CX3548">
        <v>0</v>
      </c>
      <c r="CY3548">
        <v>0</v>
      </c>
      <c r="CZ3548">
        <v>0</v>
      </c>
      <c r="DA3548">
        <v>0</v>
      </c>
      <c r="DB3548">
        <v>0</v>
      </c>
      <c r="DC3548">
        <v>0</v>
      </c>
      <c r="DD3548">
        <v>0</v>
      </c>
      <c r="DE3548">
        <v>0</v>
      </c>
      <c r="DF3548">
        <v>0</v>
      </c>
      <c r="DG3548">
        <v>0</v>
      </c>
      <c r="DH3548">
        <v>0</v>
      </c>
      <c r="DI3548">
        <v>0</v>
      </c>
      <c r="DJ3548">
        <v>0</v>
      </c>
      <c r="DK3548">
        <v>0</v>
      </c>
      <c r="DL3548">
        <v>0</v>
      </c>
      <c r="DM3548">
        <v>0</v>
      </c>
      <c r="DN3548">
        <v>0</v>
      </c>
      <c r="DO3548">
        <v>0</v>
      </c>
      <c r="DP3548">
        <v>0</v>
      </c>
      <c r="DQ3548">
        <v>0</v>
      </c>
      <c r="DR3548">
        <v>0</v>
      </c>
      <c r="DS3548">
        <v>0</v>
      </c>
      <c r="DT3548">
        <v>0</v>
      </c>
      <c r="DU3548">
        <v>0</v>
      </c>
      <c r="DV3548">
        <v>0</v>
      </c>
      <c r="DW3548">
        <v>0</v>
      </c>
      <c r="DX3548">
        <v>0</v>
      </c>
      <c r="DY3548">
        <v>0</v>
      </c>
    </row>
    <row r="3549" spans="1:129">
      <c r="A3549" t="s">
        <v>2436</v>
      </c>
      <c r="B3549">
        <v>0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v>0</v>
      </c>
      <c r="BH3549">
        <v>0</v>
      </c>
      <c r="BI3549">
        <v>0</v>
      </c>
      <c r="BJ3549">
        <v>0</v>
      </c>
      <c r="BK3549">
        <v>0</v>
      </c>
      <c r="BL3549">
        <v>0</v>
      </c>
      <c r="BM3549">
        <v>0</v>
      </c>
      <c r="BN3549">
        <v>0</v>
      </c>
      <c r="BO3549">
        <v>0</v>
      </c>
      <c r="BP3549">
        <v>0</v>
      </c>
      <c r="BQ3549">
        <v>0</v>
      </c>
      <c r="BR3549">
        <v>0</v>
      </c>
      <c r="BS3549">
        <v>0</v>
      </c>
      <c r="BT3549">
        <v>0</v>
      </c>
      <c r="BU3549">
        <v>0</v>
      </c>
      <c r="BV3549">
        <v>0</v>
      </c>
      <c r="BW3549">
        <v>0</v>
      </c>
      <c r="BX3549">
        <v>0</v>
      </c>
      <c r="BY3549">
        <v>0</v>
      </c>
      <c r="BZ3549">
        <v>0</v>
      </c>
      <c r="CA3549">
        <v>0</v>
      </c>
      <c r="CB3549">
        <v>0</v>
      </c>
      <c r="CC3549">
        <v>0</v>
      </c>
      <c r="CD3549">
        <v>0</v>
      </c>
      <c r="CE3549">
        <v>0</v>
      </c>
      <c r="CF3549">
        <v>0</v>
      </c>
      <c r="CG3549">
        <v>0</v>
      </c>
      <c r="CH3549">
        <v>0</v>
      </c>
      <c r="CI3549">
        <v>0</v>
      </c>
      <c r="CJ3549">
        <v>0</v>
      </c>
      <c r="CK3549">
        <v>0</v>
      </c>
      <c r="CL3549">
        <v>0</v>
      </c>
      <c r="CM3549">
        <v>0</v>
      </c>
      <c r="CN3549">
        <v>0</v>
      </c>
      <c r="CO3549">
        <v>0</v>
      </c>
      <c r="CP3549">
        <v>0</v>
      </c>
      <c r="CQ3549">
        <v>0</v>
      </c>
      <c r="CR3549">
        <v>0</v>
      </c>
      <c r="CS3549">
        <v>0</v>
      </c>
      <c r="CT3549">
        <v>0</v>
      </c>
      <c r="CU3549">
        <v>0</v>
      </c>
      <c r="CV3549">
        <v>0</v>
      </c>
      <c r="CW3549">
        <v>0</v>
      </c>
      <c r="CX3549">
        <v>0</v>
      </c>
      <c r="CY3549">
        <v>0</v>
      </c>
      <c r="CZ3549">
        <v>0</v>
      </c>
      <c r="DA3549">
        <v>0</v>
      </c>
      <c r="DB3549">
        <v>0</v>
      </c>
      <c r="DC3549">
        <v>0</v>
      </c>
      <c r="DD3549">
        <v>0</v>
      </c>
      <c r="DE3549">
        <v>0</v>
      </c>
      <c r="DF3549">
        <v>0</v>
      </c>
      <c r="DG3549">
        <v>0</v>
      </c>
      <c r="DH3549">
        <v>0</v>
      </c>
      <c r="DI3549">
        <v>0</v>
      </c>
      <c r="DJ3549">
        <v>0</v>
      </c>
      <c r="DK3549">
        <v>0</v>
      </c>
      <c r="DL3549">
        <v>0</v>
      </c>
      <c r="DM3549">
        <v>0</v>
      </c>
      <c r="DN3549">
        <v>0</v>
      </c>
      <c r="DO3549">
        <v>0</v>
      </c>
      <c r="DP3549">
        <v>0</v>
      </c>
      <c r="DQ3549">
        <v>0</v>
      </c>
      <c r="DR3549">
        <v>0</v>
      </c>
      <c r="DS3549">
        <v>0</v>
      </c>
      <c r="DT3549">
        <v>0</v>
      </c>
      <c r="DU3549">
        <v>0</v>
      </c>
      <c r="DV3549">
        <v>0</v>
      </c>
      <c r="DW3549">
        <v>0</v>
      </c>
      <c r="DX3549">
        <v>0</v>
      </c>
      <c r="DY3549">
        <v>0</v>
      </c>
    </row>
    <row r="3550" spans="1:129">
      <c r="A3550" t="s">
        <v>2437</v>
      </c>
      <c r="B3550">
        <v>0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  <c r="BG3550">
        <v>0</v>
      </c>
      <c r="BH3550">
        <v>0</v>
      </c>
      <c r="BI3550">
        <v>0</v>
      </c>
      <c r="BJ3550">
        <v>0</v>
      </c>
      <c r="BK3550">
        <v>0</v>
      </c>
      <c r="BL3550">
        <v>0</v>
      </c>
      <c r="BM3550">
        <v>0</v>
      </c>
      <c r="BN3550">
        <v>0</v>
      </c>
      <c r="BO3550">
        <v>0</v>
      </c>
      <c r="BP3550">
        <v>0</v>
      </c>
      <c r="BQ3550">
        <v>0</v>
      </c>
      <c r="BR3550">
        <v>0</v>
      </c>
      <c r="BS3550">
        <v>0</v>
      </c>
      <c r="BT3550">
        <v>0</v>
      </c>
      <c r="BU3550">
        <v>0</v>
      </c>
      <c r="BV3550">
        <v>0</v>
      </c>
      <c r="BW3550">
        <v>0</v>
      </c>
      <c r="BX3550">
        <v>0</v>
      </c>
      <c r="BY3550">
        <v>0</v>
      </c>
      <c r="BZ3550">
        <v>0</v>
      </c>
      <c r="CA3550">
        <v>0</v>
      </c>
      <c r="CB3550">
        <v>0</v>
      </c>
      <c r="CC3550">
        <v>0</v>
      </c>
      <c r="CD3550">
        <v>0</v>
      </c>
      <c r="CE3550">
        <v>0</v>
      </c>
      <c r="CF3550">
        <v>0</v>
      </c>
      <c r="CG3550">
        <v>0</v>
      </c>
      <c r="CH3550">
        <v>0</v>
      </c>
      <c r="CI3550">
        <v>0</v>
      </c>
      <c r="CJ3550">
        <v>0</v>
      </c>
      <c r="CK3550">
        <v>0</v>
      </c>
      <c r="CL3550">
        <v>0</v>
      </c>
      <c r="CM3550">
        <v>0</v>
      </c>
      <c r="CN3550">
        <v>0</v>
      </c>
      <c r="CO3550">
        <v>0</v>
      </c>
      <c r="CP3550">
        <v>0</v>
      </c>
      <c r="CQ3550">
        <v>0</v>
      </c>
      <c r="CR3550">
        <v>0</v>
      </c>
      <c r="CS3550">
        <v>0</v>
      </c>
      <c r="CT3550">
        <v>0</v>
      </c>
      <c r="CU3550">
        <v>0</v>
      </c>
      <c r="CV3550">
        <v>0</v>
      </c>
      <c r="CW3550">
        <v>0</v>
      </c>
      <c r="CX3550">
        <v>0</v>
      </c>
      <c r="CY3550">
        <v>0</v>
      </c>
      <c r="CZ3550">
        <v>0</v>
      </c>
      <c r="DA3550">
        <v>0</v>
      </c>
      <c r="DB3550">
        <v>0</v>
      </c>
      <c r="DC3550">
        <v>0</v>
      </c>
      <c r="DD3550">
        <v>0</v>
      </c>
      <c r="DE3550">
        <v>0</v>
      </c>
      <c r="DF3550">
        <v>0</v>
      </c>
      <c r="DG3550">
        <v>0</v>
      </c>
      <c r="DH3550">
        <v>0</v>
      </c>
      <c r="DI3550">
        <v>0</v>
      </c>
      <c r="DJ3550">
        <v>0</v>
      </c>
      <c r="DK3550">
        <v>0</v>
      </c>
      <c r="DL3550">
        <v>0</v>
      </c>
      <c r="DM3550">
        <v>0</v>
      </c>
      <c r="DN3550">
        <v>0</v>
      </c>
      <c r="DO3550">
        <v>0</v>
      </c>
      <c r="DP3550">
        <v>0</v>
      </c>
      <c r="DQ3550">
        <v>0</v>
      </c>
      <c r="DR3550">
        <v>0</v>
      </c>
      <c r="DS3550">
        <v>0</v>
      </c>
      <c r="DT3550">
        <v>0</v>
      </c>
      <c r="DU3550">
        <v>0</v>
      </c>
      <c r="DV3550">
        <v>0</v>
      </c>
      <c r="DW3550">
        <v>0</v>
      </c>
      <c r="DX3550">
        <v>0</v>
      </c>
      <c r="DY3550">
        <v>0</v>
      </c>
    </row>
    <row r="3551" spans="1:129">
      <c r="A3551" t="s">
        <v>109</v>
      </c>
      <c r="B3551" t="str">
        <f t="shared" ref="B3551:H3551" si="605">"Off"</f>
        <v>Off</v>
      </c>
      <c r="C3551" t="str">
        <f t="shared" si="605"/>
        <v>Off</v>
      </c>
      <c r="D3551" t="str">
        <f t="shared" si="605"/>
        <v>Off</v>
      </c>
      <c r="E3551" t="str">
        <f t="shared" si="605"/>
        <v>Off</v>
      </c>
      <c r="F3551" t="str">
        <f t="shared" si="605"/>
        <v>Off</v>
      </c>
      <c r="G3551" t="str">
        <f t="shared" si="605"/>
        <v>Off</v>
      </c>
      <c r="H3551" t="str">
        <f t="shared" si="605"/>
        <v>Off</v>
      </c>
      <c r="I3551" t="str">
        <f>"On"</f>
        <v>On</v>
      </c>
      <c r="J3551" t="str">
        <f t="shared" ref="J3551:P3551" si="606">"Off"</f>
        <v>Off</v>
      </c>
      <c r="K3551" t="str">
        <f t="shared" si="606"/>
        <v>Off</v>
      </c>
      <c r="L3551" t="str">
        <f t="shared" si="606"/>
        <v>Off</v>
      </c>
      <c r="M3551" t="str">
        <f t="shared" si="606"/>
        <v>Off</v>
      </c>
      <c r="N3551" t="str">
        <f t="shared" si="606"/>
        <v>Off</v>
      </c>
      <c r="O3551" t="str">
        <f t="shared" si="606"/>
        <v>Off</v>
      </c>
      <c r="P3551" t="str">
        <f t="shared" si="606"/>
        <v>Off</v>
      </c>
      <c r="Q3551" t="str">
        <f>"On"</f>
        <v>On</v>
      </c>
      <c r="R3551" t="str">
        <f>"Off"</f>
        <v>Off</v>
      </c>
      <c r="S3551" t="str">
        <f>"Off"</f>
        <v>Off</v>
      </c>
      <c r="T3551" t="str">
        <f>"Off"</f>
        <v>Off</v>
      </c>
      <c r="U3551" t="str">
        <f>"Off"</f>
        <v>Off</v>
      </c>
      <c r="V3551" t="str">
        <f>"Off"</f>
        <v>Off</v>
      </c>
      <c r="W3551" t="str">
        <f>"On"</f>
        <v>On</v>
      </c>
      <c r="X3551" t="str">
        <f t="shared" ref="X3551:AO3551" si="607">"Off"</f>
        <v>Off</v>
      </c>
      <c r="Y3551" t="str">
        <f t="shared" si="607"/>
        <v>Off</v>
      </c>
      <c r="Z3551" t="str">
        <f t="shared" si="607"/>
        <v>Off</v>
      </c>
      <c r="AA3551" t="str">
        <f t="shared" si="607"/>
        <v>Off</v>
      </c>
      <c r="AB3551" t="str">
        <f t="shared" si="607"/>
        <v>Off</v>
      </c>
      <c r="AC3551" t="str">
        <f t="shared" si="607"/>
        <v>Off</v>
      </c>
      <c r="AD3551" t="str">
        <f t="shared" si="607"/>
        <v>Off</v>
      </c>
      <c r="AE3551" t="str">
        <f t="shared" si="607"/>
        <v>Off</v>
      </c>
      <c r="AF3551" t="str">
        <f t="shared" si="607"/>
        <v>Off</v>
      </c>
      <c r="AG3551" t="str">
        <f t="shared" si="607"/>
        <v>Off</v>
      </c>
      <c r="AH3551" t="str">
        <f t="shared" si="607"/>
        <v>Off</v>
      </c>
      <c r="AI3551" t="str">
        <f t="shared" si="607"/>
        <v>Off</v>
      </c>
      <c r="AJ3551" t="str">
        <f t="shared" si="607"/>
        <v>Off</v>
      </c>
      <c r="AK3551" t="str">
        <f t="shared" si="607"/>
        <v>Off</v>
      </c>
      <c r="AL3551" t="str">
        <f t="shared" si="607"/>
        <v>Off</v>
      </c>
      <c r="AM3551" t="str">
        <f t="shared" si="607"/>
        <v>Off</v>
      </c>
      <c r="AN3551" t="str">
        <f t="shared" si="607"/>
        <v>Off</v>
      </c>
      <c r="AO3551" t="str">
        <f t="shared" si="607"/>
        <v>Off</v>
      </c>
      <c r="AP3551" t="str">
        <f>"On"</f>
        <v>On</v>
      </c>
      <c r="AQ3551" t="str">
        <f>"On"</f>
        <v>On</v>
      </c>
      <c r="AR3551" t="str">
        <f>"On"</f>
        <v>On</v>
      </c>
      <c r="AS3551" t="str">
        <f>"On"</f>
        <v>On</v>
      </c>
      <c r="AT3551" t="str">
        <f t="shared" ref="AT3551:BC3552" si="608">"Off"</f>
        <v>Off</v>
      </c>
      <c r="AU3551" t="str">
        <f t="shared" si="608"/>
        <v>Off</v>
      </c>
      <c r="AV3551" t="str">
        <f t="shared" si="608"/>
        <v>Off</v>
      </c>
      <c r="AW3551" t="str">
        <f t="shared" si="608"/>
        <v>Off</v>
      </c>
      <c r="AX3551" t="str">
        <f t="shared" si="608"/>
        <v>Off</v>
      </c>
      <c r="AY3551" t="str">
        <f t="shared" si="608"/>
        <v>Off</v>
      </c>
      <c r="AZ3551" t="str">
        <f t="shared" si="608"/>
        <v>Off</v>
      </c>
      <c r="BA3551" t="str">
        <f t="shared" si="608"/>
        <v>Off</v>
      </c>
      <c r="BB3551" t="str">
        <f t="shared" si="608"/>
        <v>Off</v>
      </c>
      <c r="BC3551" t="str">
        <f t="shared" si="608"/>
        <v>Off</v>
      </c>
      <c r="BD3551" t="str">
        <f t="shared" ref="BD3551:BM3552" si="609">"Off"</f>
        <v>Off</v>
      </c>
      <c r="BE3551" t="str">
        <f t="shared" si="609"/>
        <v>Off</v>
      </c>
      <c r="BF3551" t="str">
        <f t="shared" si="609"/>
        <v>Off</v>
      </c>
      <c r="BG3551" t="str">
        <f t="shared" si="609"/>
        <v>Off</v>
      </c>
      <c r="BH3551" t="str">
        <f t="shared" si="609"/>
        <v>Off</v>
      </c>
      <c r="BI3551" t="str">
        <f t="shared" si="609"/>
        <v>Off</v>
      </c>
      <c r="BJ3551" t="str">
        <f t="shared" si="609"/>
        <v>Off</v>
      </c>
      <c r="BK3551" t="str">
        <f t="shared" si="609"/>
        <v>Off</v>
      </c>
      <c r="BL3551" t="str">
        <f t="shared" si="609"/>
        <v>Off</v>
      </c>
      <c r="BM3551" t="str">
        <f t="shared" si="609"/>
        <v>Off</v>
      </c>
      <c r="BN3551" t="str">
        <f t="shared" ref="BN3551:BW3552" si="610">"Off"</f>
        <v>Off</v>
      </c>
      <c r="BO3551" t="str">
        <f t="shared" si="610"/>
        <v>Off</v>
      </c>
      <c r="BP3551" t="str">
        <f t="shared" si="610"/>
        <v>Off</v>
      </c>
      <c r="BQ3551" t="str">
        <f t="shared" si="610"/>
        <v>Off</v>
      </c>
      <c r="BR3551" t="str">
        <f t="shared" si="610"/>
        <v>Off</v>
      </c>
      <c r="BS3551" t="str">
        <f t="shared" si="610"/>
        <v>Off</v>
      </c>
      <c r="BT3551" t="str">
        <f t="shared" si="610"/>
        <v>Off</v>
      </c>
      <c r="BU3551" t="str">
        <f t="shared" si="610"/>
        <v>Off</v>
      </c>
      <c r="BV3551" t="str">
        <f t="shared" si="610"/>
        <v>Off</v>
      </c>
      <c r="BW3551" t="str">
        <f t="shared" si="610"/>
        <v>Off</v>
      </c>
      <c r="BX3551" t="str">
        <f t="shared" ref="BX3551:CG3552" si="611">"Off"</f>
        <v>Off</v>
      </c>
      <c r="BY3551" t="str">
        <f t="shared" si="611"/>
        <v>Off</v>
      </c>
      <c r="BZ3551" t="str">
        <f t="shared" si="611"/>
        <v>Off</v>
      </c>
      <c r="CA3551" t="str">
        <f t="shared" si="611"/>
        <v>Off</v>
      </c>
      <c r="CB3551" t="str">
        <f t="shared" si="611"/>
        <v>Off</v>
      </c>
      <c r="CC3551" t="str">
        <f t="shared" si="611"/>
        <v>Off</v>
      </c>
      <c r="CD3551" t="str">
        <f t="shared" si="611"/>
        <v>Off</v>
      </c>
      <c r="CE3551" t="str">
        <f t="shared" si="611"/>
        <v>Off</v>
      </c>
      <c r="CF3551" t="str">
        <f t="shared" si="611"/>
        <v>Off</v>
      </c>
      <c r="CG3551" t="str">
        <f t="shared" si="611"/>
        <v>Off</v>
      </c>
      <c r="CH3551" t="str">
        <f t="shared" ref="CH3551:CQ3552" si="612">"Off"</f>
        <v>Off</v>
      </c>
      <c r="CI3551" t="str">
        <f t="shared" si="612"/>
        <v>Off</v>
      </c>
      <c r="CJ3551" t="str">
        <f t="shared" si="612"/>
        <v>Off</v>
      </c>
      <c r="CK3551" t="str">
        <f t="shared" si="612"/>
        <v>Off</v>
      </c>
      <c r="CL3551" t="str">
        <f t="shared" si="612"/>
        <v>Off</v>
      </c>
      <c r="CM3551" t="str">
        <f t="shared" si="612"/>
        <v>Off</v>
      </c>
      <c r="CN3551" t="str">
        <f t="shared" si="612"/>
        <v>Off</v>
      </c>
      <c r="CO3551" t="str">
        <f t="shared" si="612"/>
        <v>Off</v>
      </c>
      <c r="CP3551" t="str">
        <f t="shared" si="612"/>
        <v>Off</v>
      </c>
      <c r="CQ3551" t="str">
        <f t="shared" si="612"/>
        <v>Off</v>
      </c>
      <c r="CR3551" t="str">
        <f t="shared" ref="CR3551:DA3552" si="613">"Off"</f>
        <v>Off</v>
      </c>
      <c r="CS3551" t="str">
        <f t="shared" si="613"/>
        <v>Off</v>
      </c>
      <c r="CT3551" t="str">
        <f t="shared" si="613"/>
        <v>Off</v>
      </c>
      <c r="CU3551" t="str">
        <f t="shared" si="613"/>
        <v>Off</v>
      </c>
      <c r="CV3551" t="str">
        <f t="shared" si="613"/>
        <v>Off</v>
      </c>
      <c r="CW3551" t="str">
        <f t="shared" si="613"/>
        <v>Off</v>
      </c>
      <c r="CX3551" t="str">
        <f t="shared" si="613"/>
        <v>Off</v>
      </c>
      <c r="CY3551" t="str">
        <f t="shared" si="613"/>
        <v>Off</v>
      </c>
      <c r="CZ3551" t="str">
        <f t="shared" si="613"/>
        <v>Off</v>
      </c>
      <c r="DA3551" t="str">
        <f t="shared" si="613"/>
        <v>Off</v>
      </c>
      <c r="DB3551" t="str">
        <f t="shared" ref="DB3551:DK3552" si="614">"Off"</f>
        <v>Off</v>
      </c>
      <c r="DC3551" t="str">
        <f t="shared" si="614"/>
        <v>Off</v>
      </c>
      <c r="DD3551" t="str">
        <f t="shared" si="614"/>
        <v>Off</v>
      </c>
      <c r="DE3551" t="str">
        <f t="shared" si="614"/>
        <v>Off</v>
      </c>
      <c r="DF3551" t="str">
        <f t="shared" si="614"/>
        <v>Off</v>
      </c>
      <c r="DG3551" t="str">
        <f t="shared" si="614"/>
        <v>Off</v>
      </c>
      <c r="DH3551" t="str">
        <f t="shared" si="614"/>
        <v>Off</v>
      </c>
      <c r="DI3551" t="str">
        <f t="shared" si="614"/>
        <v>Off</v>
      </c>
      <c r="DJ3551" t="str">
        <f t="shared" si="614"/>
        <v>Off</v>
      </c>
      <c r="DK3551" t="str">
        <f t="shared" si="614"/>
        <v>Off</v>
      </c>
      <c r="DL3551" t="str">
        <f t="shared" ref="DL3551:DY3552" si="615">"Off"</f>
        <v>Off</v>
      </c>
      <c r="DM3551" t="str">
        <f t="shared" si="615"/>
        <v>Off</v>
      </c>
      <c r="DN3551" t="str">
        <f t="shared" si="615"/>
        <v>Off</v>
      </c>
      <c r="DO3551" t="str">
        <f t="shared" si="615"/>
        <v>Off</v>
      </c>
      <c r="DP3551" t="str">
        <f t="shared" si="615"/>
        <v>Off</v>
      </c>
      <c r="DQ3551" t="str">
        <f t="shared" si="615"/>
        <v>Off</v>
      </c>
      <c r="DR3551" t="str">
        <f t="shared" si="615"/>
        <v>Off</v>
      </c>
      <c r="DS3551" t="str">
        <f t="shared" si="615"/>
        <v>Off</v>
      </c>
      <c r="DT3551" t="str">
        <f t="shared" si="615"/>
        <v>Off</v>
      </c>
      <c r="DU3551" t="str">
        <f t="shared" si="615"/>
        <v>Off</v>
      </c>
      <c r="DV3551" t="str">
        <f t="shared" si="615"/>
        <v>Off</v>
      </c>
      <c r="DW3551" t="str">
        <f t="shared" si="615"/>
        <v>Off</v>
      </c>
      <c r="DX3551" t="str">
        <f t="shared" si="615"/>
        <v>Off</v>
      </c>
      <c r="DY3551" t="str">
        <f t="shared" si="615"/>
        <v>Off</v>
      </c>
    </row>
    <row r="3552" spans="1:129">
      <c r="A3552" t="s">
        <v>3597</v>
      </c>
      <c r="B3552" t="str">
        <f>"Off"</f>
        <v>Off</v>
      </c>
      <c r="C3552" t="str">
        <f>"Off"</f>
        <v>Off</v>
      </c>
      <c r="D3552" t="str">
        <f>"Off"</f>
        <v>Off</v>
      </c>
      <c r="E3552" t="str">
        <f>"On"</f>
        <v>On</v>
      </c>
      <c r="F3552" t="str">
        <f>"On"</f>
        <v>On</v>
      </c>
      <c r="G3552" t="str">
        <f>"Off"</f>
        <v>Off</v>
      </c>
      <c r="H3552" t="str">
        <f>"Off"</f>
        <v>Off</v>
      </c>
      <c r="I3552" t="str">
        <f>"Off"</f>
        <v>Off</v>
      </c>
      <c r="J3552" t="str">
        <f>"On"</f>
        <v>On</v>
      </c>
      <c r="K3552" t="str">
        <f>"On"</f>
        <v>On</v>
      </c>
      <c r="L3552" t="str">
        <f>"On"</f>
        <v>On</v>
      </c>
      <c r="M3552" t="str">
        <f>"On"</f>
        <v>On</v>
      </c>
      <c r="N3552" t="str">
        <f>"Off"</f>
        <v>Off</v>
      </c>
      <c r="O3552" t="str">
        <f>"Off"</f>
        <v>Off</v>
      </c>
      <c r="P3552" t="str">
        <f>"Off"</f>
        <v>Off</v>
      </c>
      <c r="Q3552" t="str">
        <f>"Off"</f>
        <v>Off</v>
      </c>
      <c r="R3552" t="str">
        <f>"On"</f>
        <v>On</v>
      </c>
      <c r="S3552" t="str">
        <f>"On"</f>
        <v>On</v>
      </c>
      <c r="T3552" t="str">
        <f>"On"</f>
        <v>On</v>
      </c>
      <c r="U3552" t="str">
        <f>"On"</f>
        <v>On</v>
      </c>
      <c r="V3552" t="str">
        <f>"Off"</f>
        <v>Off</v>
      </c>
      <c r="W3552" t="str">
        <f>"Off"</f>
        <v>Off</v>
      </c>
      <c r="X3552" t="str">
        <f>"On"</f>
        <v>On</v>
      </c>
      <c r="Y3552" t="str">
        <f>"On"</f>
        <v>On</v>
      </c>
      <c r="Z3552" t="str">
        <f>"On"</f>
        <v>On</v>
      </c>
      <c r="AA3552" t="str">
        <f>"On"</f>
        <v>On</v>
      </c>
      <c r="AB3552" t="str">
        <f t="shared" ref="AB3552:AJ3552" si="616">"Off"</f>
        <v>Off</v>
      </c>
      <c r="AC3552" t="str">
        <f t="shared" si="616"/>
        <v>Off</v>
      </c>
      <c r="AD3552" t="str">
        <f t="shared" si="616"/>
        <v>Off</v>
      </c>
      <c r="AE3552" t="str">
        <f t="shared" si="616"/>
        <v>Off</v>
      </c>
      <c r="AF3552" t="str">
        <f t="shared" si="616"/>
        <v>Off</v>
      </c>
      <c r="AG3552" t="str">
        <f t="shared" si="616"/>
        <v>Off</v>
      </c>
      <c r="AH3552" t="str">
        <f t="shared" si="616"/>
        <v>Off</v>
      </c>
      <c r="AI3552" t="str">
        <f t="shared" si="616"/>
        <v>Off</v>
      </c>
      <c r="AJ3552" t="str">
        <f t="shared" si="616"/>
        <v>Off</v>
      </c>
      <c r="AK3552" t="str">
        <f>"On"</f>
        <v>On</v>
      </c>
      <c r="AL3552" t="str">
        <f>"Off"</f>
        <v>Off</v>
      </c>
      <c r="AM3552" t="str">
        <f>"On"</f>
        <v>On</v>
      </c>
      <c r="AN3552" t="str">
        <f>"Off"</f>
        <v>Off</v>
      </c>
      <c r="AO3552" t="str">
        <f>"On"</f>
        <v>On</v>
      </c>
      <c r="AP3552" t="str">
        <f>"Off"</f>
        <v>Off</v>
      </c>
      <c r="AQ3552" t="str">
        <f>"Off"</f>
        <v>Off</v>
      </c>
      <c r="AR3552" t="str">
        <f>"Off"</f>
        <v>Off</v>
      </c>
      <c r="AS3552" t="str">
        <f>"Off"</f>
        <v>Off</v>
      </c>
      <c r="AT3552" t="str">
        <f t="shared" si="608"/>
        <v>Off</v>
      </c>
      <c r="AU3552" t="str">
        <f t="shared" si="608"/>
        <v>Off</v>
      </c>
      <c r="AV3552" t="str">
        <f t="shared" si="608"/>
        <v>Off</v>
      </c>
      <c r="AW3552" t="str">
        <f t="shared" si="608"/>
        <v>Off</v>
      </c>
      <c r="AX3552" t="str">
        <f t="shared" si="608"/>
        <v>Off</v>
      </c>
      <c r="AY3552" t="str">
        <f t="shared" si="608"/>
        <v>Off</v>
      </c>
      <c r="AZ3552" t="str">
        <f t="shared" si="608"/>
        <v>Off</v>
      </c>
      <c r="BA3552" t="str">
        <f t="shared" si="608"/>
        <v>Off</v>
      </c>
      <c r="BB3552" t="str">
        <f t="shared" si="608"/>
        <v>Off</v>
      </c>
      <c r="BC3552" t="str">
        <f t="shared" si="608"/>
        <v>Off</v>
      </c>
      <c r="BD3552" t="str">
        <f t="shared" si="609"/>
        <v>Off</v>
      </c>
      <c r="BE3552" t="str">
        <f t="shared" si="609"/>
        <v>Off</v>
      </c>
      <c r="BF3552" t="str">
        <f t="shared" si="609"/>
        <v>Off</v>
      </c>
      <c r="BG3552" t="str">
        <f t="shared" si="609"/>
        <v>Off</v>
      </c>
      <c r="BH3552" t="str">
        <f t="shared" si="609"/>
        <v>Off</v>
      </c>
      <c r="BI3552" t="str">
        <f t="shared" si="609"/>
        <v>Off</v>
      </c>
      <c r="BJ3552" t="str">
        <f t="shared" si="609"/>
        <v>Off</v>
      </c>
      <c r="BK3552" t="str">
        <f t="shared" si="609"/>
        <v>Off</v>
      </c>
      <c r="BL3552" t="str">
        <f t="shared" si="609"/>
        <v>Off</v>
      </c>
      <c r="BM3552" t="str">
        <f t="shared" si="609"/>
        <v>Off</v>
      </c>
      <c r="BN3552" t="str">
        <f t="shared" si="610"/>
        <v>Off</v>
      </c>
      <c r="BO3552" t="str">
        <f t="shared" si="610"/>
        <v>Off</v>
      </c>
      <c r="BP3552" t="str">
        <f t="shared" si="610"/>
        <v>Off</v>
      </c>
      <c r="BQ3552" t="str">
        <f t="shared" si="610"/>
        <v>Off</v>
      </c>
      <c r="BR3552" t="str">
        <f t="shared" si="610"/>
        <v>Off</v>
      </c>
      <c r="BS3552" t="str">
        <f t="shared" si="610"/>
        <v>Off</v>
      </c>
      <c r="BT3552" t="str">
        <f t="shared" si="610"/>
        <v>Off</v>
      </c>
      <c r="BU3552" t="str">
        <f t="shared" si="610"/>
        <v>Off</v>
      </c>
      <c r="BV3552" t="str">
        <f t="shared" si="610"/>
        <v>Off</v>
      </c>
      <c r="BW3552" t="str">
        <f t="shared" si="610"/>
        <v>Off</v>
      </c>
      <c r="BX3552" t="str">
        <f t="shared" si="611"/>
        <v>Off</v>
      </c>
      <c r="BY3552" t="str">
        <f t="shared" si="611"/>
        <v>Off</v>
      </c>
      <c r="BZ3552" t="str">
        <f t="shared" si="611"/>
        <v>Off</v>
      </c>
      <c r="CA3552" t="str">
        <f t="shared" si="611"/>
        <v>Off</v>
      </c>
      <c r="CB3552" t="str">
        <f t="shared" si="611"/>
        <v>Off</v>
      </c>
      <c r="CC3552" t="str">
        <f t="shared" si="611"/>
        <v>Off</v>
      </c>
      <c r="CD3552" t="str">
        <f t="shared" si="611"/>
        <v>Off</v>
      </c>
      <c r="CE3552" t="str">
        <f t="shared" si="611"/>
        <v>Off</v>
      </c>
      <c r="CF3552" t="str">
        <f t="shared" si="611"/>
        <v>Off</v>
      </c>
      <c r="CG3552" t="str">
        <f t="shared" si="611"/>
        <v>Off</v>
      </c>
      <c r="CH3552" t="str">
        <f t="shared" si="612"/>
        <v>Off</v>
      </c>
      <c r="CI3552" t="str">
        <f t="shared" si="612"/>
        <v>Off</v>
      </c>
      <c r="CJ3552" t="str">
        <f t="shared" si="612"/>
        <v>Off</v>
      </c>
      <c r="CK3552" t="str">
        <f t="shared" si="612"/>
        <v>Off</v>
      </c>
      <c r="CL3552" t="str">
        <f t="shared" si="612"/>
        <v>Off</v>
      </c>
      <c r="CM3552" t="str">
        <f t="shared" si="612"/>
        <v>Off</v>
      </c>
      <c r="CN3552" t="str">
        <f t="shared" si="612"/>
        <v>Off</v>
      </c>
      <c r="CO3552" t="str">
        <f t="shared" si="612"/>
        <v>Off</v>
      </c>
      <c r="CP3552" t="str">
        <f t="shared" si="612"/>
        <v>Off</v>
      </c>
      <c r="CQ3552" t="str">
        <f t="shared" si="612"/>
        <v>Off</v>
      </c>
      <c r="CR3552" t="str">
        <f t="shared" si="613"/>
        <v>Off</v>
      </c>
      <c r="CS3552" t="str">
        <f t="shared" si="613"/>
        <v>Off</v>
      </c>
      <c r="CT3552" t="str">
        <f t="shared" si="613"/>
        <v>Off</v>
      </c>
      <c r="CU3552" t="str">
        <f t="shared" si="613"/>
        <v>Off</v>
      </c>
      <c r="CV3552" t="str">
        <f t="shared" si="613"/>
        <v>Off</v>
      </c>
      <c r="CW3552" t="str">
        <f t="shared" si="613"/>
        <v>Off</v>
      </c>
      <c r="CX3552" t="str">
        <f t="shared" si="613"/>
        <v>Off</v>
      </c>
      <c r="CY3552" t="str">
        <f t="shared" si="613"/>
        <v>Off</v>
      </c>
      <c r="CZ3552" t="str">
        <f t="shared" si="613"/>
        <v>Off</v>
      </c>
      <c r="DA3552" t="str">
        <f t="shared" si="613"/>
        <v>Off</v>
      </c>
      <c r="DB3552" t="str">
        <f t="shared" si="614"/>
        <v>Off</v>
      </c>
      <c r="DC3552" t="str">
        <f t="shared" si="614"/>
        <v>Off</v>
      </c>
      <c r="DD3552" t="str">
        <f t="shared" si="614"/>
        <v>Off</v>
      </c>
      <c r="DE3552" t="str">
        <f t="shared" si="614"/>
        <v>Off</v>
      </c>
      <c r="DF3552" t="str">
        <f t="shared" si="614"/>
        <v>Off</v>
      </c>
      <c r="DG3552" t="str">
        <f t="shared" si="614"/>
        <v>Off</v>
      </c>
      <c r="DH3552" t="str">
        <f t="shared" si="614"/>
        <v>Off</v>
      </c>
      <c r="DI3552" t="str">
        <f t="shared" si="614"/>
        <v>Off</v>
      </c>
      <c r="DJ3552" t="str">
        <f t="shared" si="614"/>
        <v>Off</v>
      </c>
      <c r="DK3552" t="str">
        <f t="shared" si="614"/>
        <v>Off</v>
      </c>
      <c r="DL3552" t="str">
        <f t="shared" si="615"/>
        <v>Off</v>
      </c>
      <c r="DM3552" t="str">
        <f t="shared" si="615"/>
        <v>Off</v>
      </c>
      <c r="DN3552" t="str">
        <f t="shared" si="615"/>
        <v>Off</v>
      </c>
      <c r="DO3552" t="str">
        <f t="shared" si="615"/>
        <v>Off</v>
      </c>
      <c r="DP3552" t="str">
        <f t="shared" si="615"/>
        <v>Off</v>
      </c>
      <c r="DQ3552" t="str">
        <f t="shared" si="615"/>
        <v>Off</v>
      </c>
      <c r="DR3552" t="str">
        <f t="shared" si="615"/>
        <v>Off</v>
      </c>
      <c r="DS3552" t="str">
        <f t="shared" si="615"/>
        <v>Off</v>
      </c>
      <c r="DT3552" t="str">
        <f t="shared" si="615"/>
        <v>Off</v>
      </c>
      <c r="DU3552" t="str">
        <f t="shared" si="615"/>
        <v>Off</v>
      </c>
      <c r="DV3552" t="str">
        <f t="shared" si="615"/>
        <v>Off</v>
      </c>
      <c r="DW3552" t="str">
        <f t="shared" si="615"/>
        <v>Off</v>
      </c>
      <c r="DX3552" t="str">
        <f t="shared" si="615"/>
        <v>Off</v>
      </c>
      <c r="DY3552" t="str">
        <f t="shared" si="615"/>
        <v>Off</v>
      </c>
    </row>
    <row r="3553" spans="1:129">
      <c r="A3553" t="s">
        <v>3598</v>
      </c>
      <c r="B3553">
        <v>0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20</v>
      </c>
      <c r="K3553">
        <v>20</v>
      </c>
      <c r="L3553">
        <v>10</v>
      </c>
      <c r="M3553">
        <v>20</v>
      </c>
      <c r="N3553">
        <v>0</v>
      </c>
      <c r="O3553">
        <v>0</v>
      </c>
      <c r="P3553">
        <v>0</v>
      </c>
      <c r="Q3553">
        <v>0</v>
      </c>
      <c r="R3553">
        <v>20</v>
      </c>
      <c r="S3553">
        <v>20</v>
      </c>
      <c r="T3553">
        <v>10</v>
      </c>
      <c r="U3553">
        <v>20</v>
      </c>
      <c r="V3553">
        <v>0</v>
      </c>
      <c r="W3553">
        <v>0</v>
      </c>
      <c r="X3553">
        <v>20</v>
      </c>
      <c r="Y3553">
        <v>20</v>
      </c>
      <c r="Z3553">
        <v>10</v>
      </c>
      <c r="AA3553">
        <v>20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20</v>
      </c>
      <c r="AL3553">
        <v>0</v>
      </c>
      <c r="AM3553">
        <v>20</v>
      </c>
      <c r="AN3553">
        <v>0</v>
      </c>
      <c r="AO3553">
        <v>20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0</v>
      </c>
      <c r="BD3553">
        <v>0</v>
      </c>
      <c r="BE3553">
        <v>0</v>
      </c>
      <c r="BF3553">
        <v>0</v>
      </c>
      <c r="BG3553">
        <v>0</v>
      </c>
      <c r="BH3553">
        <v>0</v>
      </c>
      <c r="BI3553">
        <v>0</v>
      </c>
      <c r="BJ3553">
        <v>0</v>
      </c>
      <c r="BK3553">
        <v>0</v>
      </c>
      <c r="BL3553">
        <v>0</v>
      </c>
      <c r="BM3553">
        <v>0</v>
      </c>
      <c r="BN3553">
        <v>0</v>
      </c>
      <c r="BO3553">
        <v>0</v>
      </c>
      <c r="BP3553">
        <v>0</v>
      </c>
      <c r="BQ3553">
        <v>0</v>
      </c>
      <c r="BR3553">
        <v>0</v>
      </c>
      <c r="BS3553">
        <v>0</v>
      </c>
      <c r="BT3553">
        <v>0</v>
      </c>
      <c r="BU3553">
        <v>0</v>
      </c>
      <c r="BV3553">
        <v>0</v>
      </c>
      <c r="BW3553">
        <v>0</v>
      </c>
      <c r="BX3553">
        <v>0</v>
      </c>
      <c r="BY3553">
        <v>0</v>
      </c>
      <c r="BZ3553">
        <v>0</v>
      </c>
      <c r="CA3553">
        <v>0</v>
      </c>
      <c r="CB3553">
        <v>0</v>
      </c>
      <c r="CC3553">
        <v>0</v>
      </c>
      <c r="CD3553">
        <v>0</v>
      </c>
      <c r="CE3553">
        <v>0</v>
      </c>
      <c r="CF3553">
        <v>0</v>
      </c>
      <c r="CG3553">
        <v>0</v>
      </c>
      <c r="CH3553">
        <v>0</v>
      </c>
      <c r="CI3553">
        <v>0</v>
      </c>
      <c r="CJ3553">
        <v>0</v>
      </c>
      <c r="CK3553">
        <v>0</v>
      </c>
      <c r="CL3553">
        <v>0</v>
      </c>
      <c r="CM3553">
        <v>0</v>
      </c>
      <c r="CN3553">
        <v>0</v>
      </c>
      <c r="CO3553">
        <v>0</v>
      </c>
      <c r="CP3553">
        <v>0</v>
      </c>
      <c r="CQ3553">
        <v>0</v>
      </c>
      <c r="CR3553">
        <v>0</v>
      </c>
      <c r="CS3553">
        <v>0</v>
      </c>
      <c r="CT3553">
        <v>0</v>
      </c>
      <c r="CU3553">
        <v>0</v>
      </c>
      <c r="CV3553">
        <v>0</v>
      </c>
      <c r="CW3553">
        <v>0</v>
      </c>
      <c r="CX3553">
        <v>0</v>
      </c>
      <c r="CY3553">
        <v>0</v>
      </c>
      <c r="CZ3553">
        <v>0</v>
      </c>
      <c r="DA3553">
        <v>0</v>
      </c>
      <c r="DB3553">
        <v>0</v>
      </c>
      <c r="DC3553">
        <v>0</v>
      </c>
      <c r="DD3553">
        <v>0</v>
      </c>
      <c r="DE3553">
        <v>0</v>
      </c>
      <c r="DF3553">
        <v>0</v>
      </c>
      <c r="DG3553">
        <v>0</v>
      </c>
      <c r="DH3553">
        <v>0</v>
      </c>
      <c r="DI3553">
        <v>0</v>
      </c>
      <c r="DJ3553">
        <v>0</v>
      </c>
      <c r="DK3553">
        <v>0</v>
      </c>
      <c r="DL3553">
        <v>0</v>
      </c>
      <c r="DM3553">
        <v>0</v>
      </c>
      <c r="DN3553">
        <v>0</v>
      </c>
      <c r="DO3553">
        <v>0</v>
      </c>
      <c r="DP3553">
        <v>0</v>
      </c>
      <c r="DQ3553">
        <v>0</v>
      </c>
      <c r="DR3553">
        <v>0</v>
      </c>
      <c r="DS3553">
        <v>0</v>
      </c>
      <c r="DT3553">
        <v>0</v>
      </c>
      <c r="DU3553">
        <v>0</v>
      </c>
      <c r="DV3553">
        <v>0</v>
      </c>
      <c r="DW3553">
        <v>0</v>
      </c>
      <c r="DX3553">
        <v>0</v>
      </c>
      <c r="DY3553">
        <v>0</v>
      </c>
    </row>
    <row r="3554" spans="1:129">
      <c r="A3554" t="s">
        <v>3599</v>
      </c>
      <c r="B3554" t="str">
        <f>"Off"</f>
        <v>Off</v>
      </c>
      <c r="C3554" t="str">
        <f>"On"</f>
        <v>On</v>
      </c>
      <c r="D3554" t="str">
        <f t="shared" ref="D3554:AI3554" si="617">"Off"</f>
        <v>Off</v>
      </c>
      <c r="E3554" t="str">
        <f t="shared" si="617"/>
        <v>Off</v>
      </c>
      <c r="F3554" t="str">
        <f t="shared" si="617"/>
        <v>Off</v>
      </c>
      <c r="G3554" t="str">
        <f t="shared" si="617"/>
        <v>Off</v>
      </c>
      <c r="H3554" t="str">
        <f t="shared" si="617"/>
        <v>Off</v>
      </c>
      <c r="I3554" t="str">
        <f t="shared" si="617"/>
        <v>Off</v>
      </c>
      <c r="J3554" t="str">
        <f t="shared" si="617"/>
        <v>Off</v>
      </c>
      <c r="K3554" t="str">
        <f t="shared" si="617"/>
        <v>Off</v>
      </c>
      <c r="L3554" t="str">
        <f t="shared" si="617"/>
        <v>Off</v>
      </c>
      <c r="M3554" t="str">
        <f t="shared" si="617"/>
        <v>Off</v>
      </c>
      <c r="N3554" t="str">
        <f t="shared" si="617"/>
        <v>Off</v>
      </c>
      <c r="O3554" t="str">
        <f t="shared" si="617"/>
        <v>Off</v>
      </c>
      <c r="P3554" t="str">
        <f t="shared" si="617"/>
        <v>Off</v>
      </c>
      <c r="Q3554" t="str">
        <f t="shared" si="617"/>
        <v>Off</v>
      </c>
      <c r="R3554" t="str">
        <f t="shared" si="617"/>
        <v>Off</v>
      </c>
      <c r="S3554" t="str">
        <f t="shared" si="617"/>
        <v>Off</v>
      </c>
      <c r="T3554" t="str">
        <f t="shared" si="617"/>
        <v>Off</v>
      </c>
      <c r="U3554" t="str">
        <f t="shared" si="617"/>
        <v>Off</v>
      </c>
      <c r="V3554" t="str">
        <f t="shared" si="617"/>
        <v>Off</v>
      </c>
      <c r="W3554" t="str">
        <f t="shared" si="617"/>
        <v>Off</v>
      </c>
      <c r="X3554" t="str">
        <f t="shared" si="617"/>
        <v>Off</v>
      </c>
      <c r="Y3554" t="str">
        <f t="shared" si="617"/>
        <v>Off</v>
      </c>
      <c r="Z3554" t="str">
        <f t="shared" si="617"/>
        <v>Off</v>
      </c>
      <c r="AA3554" t="str">
        <f t="shared" si="617"/>
        <v>Off</v>
      </c>
      <c r="AB3554" t="str">
        <f t="shared" si="617"/>
        <v>Off</v>
      </c>
      <c r="AC3554" t="str">
        <f t="shared" si="617"/>
        <v>Off</v>
      </c>
      <c r="AD3554" t="str">
        <f t="shared" si="617"/>
        <v>Off</v>
      </c>
      <c r="AE3554" t="str">
        <f t="shared" si="617"/>
        <v>Off</v>
      </c>
      <c r="AF3554" t="str">
        <f t="shared" si="617"/>
        <v>Off</v>
      </c>
      <c r="AG3554" t="str">
        <f t="shared" si="617"/>
        <v>Off</v>
      </c>
      <c r="AH3554" t="str">
        <f t="shared" si="617"/>
        <v>Off</v>
      </c>
      <c r="AI3554" t="str">
        <f t="shared" si="617"/>
        <v>Off</v>
      </c>
      <c r="AJ3554" t="str">
        <f t="shared" ref="AJ3554:BO3554" si="618">"Off"</f>
        <v>Off</v>
      </c>
      <c r="AK3554" t="str">
        <f t="shared" si="618"/>
        <v>Off</v>
      </c>
      <c r="AL3554" t="str">
        <f t="shared" si="618"/>
        <v>Off</v>
      </c>
      <c r="AM3554" t="str">
        <f t="shared" si="618"/>
        <v>Off</v>
      </c>
      <c r="AN3554" t="str">
        <f t="shared" si="618"/>
        <v>Off</v>
      </c>
      <c r="AO3554" t="str">
        <f t="shared" si="618"/>
        <v>Off</v>
      </c>
      <c r="AP3554" t="str">
        <f t="shared" si="618"/>
        <v>Off</v>
      </c>
      <c r="AQ3554" t="str">
        <f t="shared" si="618"/>
        <v>Off</v>
      </c>
      <c r="AR3554" t="str">
        <f t="shared" si="618"/>
        <v>Off</v>
      </c>
      <c r="AS3554" t="str">
        <f t="shared" si="618"/>
        <v>Off</v>
      </c>
      <c r="AT3554" t="str">
        <f t="shared" si="618"/>
        <v>Off</v>
      </c>
      <c r="AU3554" t="str">
        <f t="shared" si="618"/>
        <v>Off</v>
      </c>
      <c r="AV3554" t="str">
        <f t="shared" si="618"/>
        <v>Off</v>
      </c>
      <c r="AW3554" t="str">
        <f t="shared" si="618"/>
        <v>Off</v>
      </c>
      <c r="AX3554" t="str">
        <f t="shared" si="618"/>
        <v>Off</v>
      </c>
      <c r="AY3554" t="str">
        <f t="shared" si="618"/>
        <v>Off</v>
      </c>
      <c r="AZ3554" t="str">
        <f t="shared" si="618"/>
        <v>Off</v>
      </c>
      <c r="BA3554" t="str">
        <f t="shared" si="618"/>
        <v>Off</v>
      </c>
      <c r="BB3554" t="str">
        <f t="shared" si="618"/>
        <v>Off</v>
      </c>
      <c r="BC3554" t="str">
        <f t="shared" si="618"/>
        <v>Off</v>
      </c>
      <c r="BD3554" t="str">
        <f t="shared" si="618"/>
        <v>Off</v>
      </c>
      <c r="BE3554" t="str">
        <f t="shared" si="618"/>
        <v>Off</v>
      </c>
      <c r="BF3554" t="str">
        <f t="shared" si="618"/>
        <v>Off</v>
      </c>
      <c r="BG3554" t="str">
        <f t="shared" si="618"/>
        <v>Off</v>
      </c>
      <c r="BH3554" t="str">
        <f t="shared" si="618"/>
        <v>Off</v>
      </c>
      <c r="BI3554" t="str">
        <f t="shared" si="618"/>
        <v>Off</v>
      </c>
      <c r="BJ3554" t="str">
        <f t="shared" si="618"/>
        <v>Off</v>
      </c>
      <c r="BK3554" t="str">
        <f t="shared" si="618"/>
        <v>Off</v>
      </c>
      <c r="BL3554" t="str">
        <f t="shared" si="618"/>
        <v>Off</v>
      </c>
      <c r="BM3554" t="str">
        <f t="shared" si="618"/>
        <v>Off</v>
      </c>
      <c r="BN3554" t="str">
        <f t="shared" si="618"/>
        <v>Off</v>
      </c>
      <c r="BO3554" t="str">
        <f t="shared" si="618"/>
        <v>Off</v>
      </c>
      <c r="BP3554" t="str">
        <f t="shared" ref="BP3554:CU3554" si="619">"Off"</f>
        <v>Off</v>
      </c>
      <c r="BQ3554" t="str">
        <f t="shared" si="619"/>
        <v>Off</v>
      </c>
      <c r="BR3554" t="str">
        <f t="shared" si="619"/>
        <v>Off</v>
      </c>
      <c r="BS3554" t="str">
        <f t="shared" si="619"/>
        <v>Off</v>
      </c>
      <c r="BT3554" t="str">
        <f t="shared" si="619"/>
        <v>Off</v>
      </c>
      <c r="BU3554" t="str">
        <f t="shared" si="619"/>
        <v>Off</v>
      </c>
      <c r="BV3554" t="str">
        <f t="shared" si="619"/>
        <v>Off</v>
      </c>
      <c r="BW3554" t="str">
        <f t="shared" si="619"/>
        <v>Off</v>
      </c>
      <c r="BX3554" t="str">
        <f t="shared" si="619"/>
        <v>Off</v>
      </c>
      <c r="BY3554" t="str">
        <f t="shared" si="619"/>
        <v>Off</v>
      </c>
      <c r="BZ3554" t="str">
        <f t="shared" si="619"/>
        <v>Off</v>
      </c>
      <c r="CA3554" t="str">
        <f t="shared" si="619"/>
        <v>Off</v>
      </c>
      <c r="CB3554" t="str">
        <f t="shared" si="619"/>
        <v>Off</v>
      </c>
      <c r="CC3554" t="str">
        <f t="shared" si="619"/>
        <v>Off</v>
      </c>
      <c r="CD3554" t="str">
        <f t="shared" si="619"/>
        <v>Off</v>
      </c>
      <c r="CE3554" t="str">
        <f t="shared" si="619"/>
        <v>Off</v>
      </c>
      <c r="CF3554" t="str">
        <f t="shared" si="619"/>
        <v>Off</v>
      </c>
      <c r="CG3554" t="str">
        <f t="shared" si="619"/>
        <v>Off</v>
      </c>
      <c r="CH3554" t="str">
        <f t="shared" si="619"/>
        <v>Off</v>
      </c>
      <c r="CI3554" t="str">
        <f t="shared" si="619"/>
        <v>Off</v>
      </c>
      <c r="CJ3554" t="str">
        <f t="shared" si="619"/>
        <v>Off</v>
      </c>
      <c r="CK3554" t="str">
        <f t="shared" si="619"/>
        <v>Off</v>
      </c>
      <c r="CL3554" t="str">
        <f t="shared" si="619"/>
        <v>Off</v>
      </c>
      <c r="CM3554" t="str">
        <f t="shared" si="619"/>
        <v>Off</v>
      </c>
      <c r="CN3554" t="str">
        <f t="shared" si="619"/>
        <v>Off</v>
      </c>
      <c r="CO3554" t="str">
        <f t="shared" si="619"/>
        <v>Off</v>
      </c>
      <c r="CP3554" t="str">
        <f t="shared" si="619"/>
        <v>Off</v>
      </c>
      <c r="CQ3554" t="str">
        <f t="shared" si="619"/>
        <v>Off</v>
      </c>
      <c r="CR3554" t="str">
        <f t="shared" si="619"/>
        <v>Off</v>
      </c>
      <c r="CS3554" t="str">
        <f t="shared" si="619"/>
        <v>Off</v>
      </c>
      <c r="CT3554" t="str">
        <f t="shared" si="619"/>
        <v>Off</v>
      </c>
      <c r="CU3554" t="str">
        <f t="shared" si="619"/>
        <v>Off</v>
      </c>
      <c r="CV3554" t="str">
        <f t="shared" ref="CV3554:DY3554" si="620">"Off"</f>
        <v>Off</v>
      </c>
      <c r="CW3554" t="str">
        <f t="shared" si="620"/>
        <v>Off</v>
      </c>
      <c r="CX3554" t="str">
        <f t="shared" si="620"/>
        <v>Off</v>
      </c>
      <c r="CY3554" t="str">
        <f t="shared" si="620"/>
        <v>Off</v>
      </c>
      <c r="CZ3554" t="str">
        <f t="shared" si="620"/>
        <v>Off</v>
      </c>
      <c r="DA3554" t="str">
        <f t="shared" si="620"/>
        <v>Off</v>
      </c>
      <c r="DB3554" t="str">
        <f t="shared" si="620"/>
        <v>Off</v>
      </c>
      <c r="DC3554" t="str">
        <f t="shared" si="620"/>
        <v>Off</v>
      </c>
      <c r="DD3554" t="str">
        <f t="shared" si="620"/>
        <v>Off</v>
      </c>
      <c r="DE3554" t="str">
        <f t="shared" si="620"/>
        <v>Off</v>
      </c>
      <c r="DF3554" t="str">
        <f t="shared" si="620"/>
        <v>Off</v>
      </c>
      <c r="DG3554" t="str">
        <f t="shared" si="620"/>
        <v>Off</v>
      </c>
      <c r="DH3554" t="str">
        <f t="shared" si="620"/>
        <v>Off</v>
      </c>
      <c r="DI3554" t="str">
        <f t="shared" si="620"/>
        <v>Off</v>
      </c>
      <c r="DJ3554" t="str">
        <f t="shared" si="620"/>
        <v>Off</v>
      </c>
      <c r="DK3554" t="str">
        <f t="shared" si="620"/>
        <v>Off</v>
      </c>
      <c r="DL3554" t="str">
        <f t="shared" si="620"/>
        <v>Off</v>
      </c>
      <c r="DM3554" t="str">
        <f t="shared" si="620"/>
        <v>Off</v>
      </c>
      <c r="DN3554" t="str">
        <f t="shared" si="620"/>
        <v>Off</v>
      </c>
      <c r="DO3554" t="str">
        <f t="shared" si="620"/>
        <v>Off</v>
      </c>
      <c r="DP3554" t="str">
        <f t="shared" si="620"/>
        <v>Off</v>
      </c>
      <c r="DQ3554" t="str">
        <f t="shared" si="620"/>
        <v>Off</v>
      </c>
      <c r="DR3554" t="str">
        <f t="shared" si="620"/>
        <v>Off</v>
      </c>
      <c r="DS3554" t="str">
        <f t="shared" si="620"/>
        <v>Off</v>
      </c>
      <c r="DT3554" t="str">
        <f t="shared" si="620"/>
        <v>Off</v>
      </c>
      <c r="DU3554" t="str">
        <f t="shared" si="620"/>
        <v>Off</v>
      </c>
      <c r="DV3554" t="str">
        <f t="shared" si="620"/>
        <v>Off</v>
      </c>
      <c r="DW3554" t="str">
        <f t="shared" si="620"/>
        <v>Off</v>
      </c>
      <c r="DX3554" t="str">
        <f t="shared" si="620"/>
        <v>Off</v>
      </c>
      <c r="DY3554" t="str">
        <f t="shared" si="620"/>
        <v>Off</v>
      </c>
    </row>
    <row r="3555" spans="1:129">
      <c r="A3555" t="s">
        <v>3600</v>
      </c>
      <c r="B3555">
        <v>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v>0</v>
      </c>
      <c r="BH3555">
        <v>0</v>
      </c>
      <c r="BI3555">
        <v>0</v>
      </c>
      <c r="BJ3555">
        <v>0</v>
      </c>
      <c r="BK3555">
        <v>0</v>
      </c>
      <c r="BL3555">
        <v>0</v>
      </c>
      <c r="BM3555">
        <v>0</v>
      </c>
      <c r="BN3555">
        <v>0</v>
      </c>
      <c r="BO3555">
        <v>0</v>
      </c>
      <c r="BP3555">
        <v>0</v>
      </c>
      <c r="BQ3555">
        <v>0</v>
      </c>
      <c r="BR3555">
        <v>0</v>
      </c>
      <c r="BS3555">
        <v>0</v>
      </c>
      <c r="BT3555">
        <v>0</v>
      </c>
      <c r="BU3555">
        <v>0</v>
      </c>
      <c r="BV3555">
        <v>0</v>
      </c>
      <c r="BW3555">
        <v>0</v>
      </c>
      <c r="BX3555">
        <v>0</v>
      </c>
      <c r="BY3555">
        <v>0</v>
      </c>
      <c r="BZ3555">
        <v>0</v>
      </c>
      <c r="CA3555">
        <v>0</v>
      </c>
      <c r="CB3555">
        <v>0</v>
      </c>
      <c r="CC3555">
        <v>0</v>
      </c>
      <c r="CD3555">
        <v>0</v>
      </c>
      <c r="CE3555">
        <v>0</v>
      </c>
      <c r="CF3555">
        <v>0</v>
      </c>
      <c r="CG3555">
        <v>0</v>
      </c>
      <c r="CH3555">
        <v>0</v>
      </c>
      <c r="CI3555">
        <v>0</v>
      </c>
      <c r="CJ3555">
        <v>0</v>
      </c>
      <c r="CK3555">
        <v>0</v>
      </c>
      <c r="CL3555">
        <v>0</v>
      </c>
      <c r="CM3555">
        <v>0</v>
      </c>
      <c r="CN3555">
        <v>0</v>
      </c>
      <c r="CO3555">
        <v>0</v>
      </c>
      <c r="CP3555">
        <v>0</v>
      </c>
      <c r="CQ3555">
        <v>0</v>
      </c>
      <c r="CR3555">
        <v>0</v>
      </c>
      <c r="CS3555">
        <v>0</v>
      </c>
      <c r="CT3555">
        <v>0</v>
      </c>
      <c r="CU3555">
        <v>0</v>
      </c>
      <c r="CV3555">
        <v>0</v>
      </c>
      <c r="CW3555">
        <v>0</v>
      </c>
      <c r="CX3555">
        <v>0</v>
      </c>
      <c r="CY3555">
        <v>0</v>
      </c>
      <c r="CZ3555">
        <v>0</v>
      </c>
      <c r="DA3555">
        <v>0</v>
      </c>
      <c r="DB3555">
        <v>0</v>
      </c>
      <c r="DC3555">
        <v>0</v>
      </c>
      <c r="DD3555">
        <v>0</v>
      </c>
      <c r="DE3555">
        <v>0</v>
      </c>
      <c r="DF3555">
        <v>0</v>
      </c>
      <c r="DG3555">
        <v>0</v>
      </c>
      <c r="DH3555">
        <v>0</v>
      </c>
      <c r="DI3555">
        <v>0</v>
      </c>
      <c r="DJ3555">
        <v>0</v>
      </c>
      <c r="DK3555">
        <v>0</v>
      </c>
      <c r="DL3555">
        <v>0</v>
      </c>
      <c r="DM3555">
        <v>0</v>
      </c>
      <c r="DN3555">
        <v>0</v>
      </c>
      <c r="DO3555">
        <v>0</v>
      </c>
      <c r="DP3555">
        <v>0</v>
      </c>
      <c r="DQ3555">
        <v>0</v>
      </c>
      <c r="DR3555">
        <v>0</v>
      </c>
      <c r="DS3555">
        <v>0</v>
      </c>
      <c r="DT3555">
        <v>0</v>
      </c>
      <c r="DU3555">
        <v>0</v>
      </c>
      <c r="DV3555">
        <v>0</v>
      </c>
      <c r="DW3555">
        <v>0</v>
      </c>
      <c r="DX3555">
        <v>0</v>
      </c>
      <c r="DY3555">
        <v>0</v>
      </c>
    </row>
    <row r="3556" spans="1:129">
      <c r="A3556" t="s">
        <v>3601</v>
      </c>
      <c r="B3556" t="str">
        <f>"On"</f>
        <v>On</v>
      </c>
      <c r="C3556" t="str">
        <f>"On"</f>
        <v>On</v>
      </c>
      <c r="D3556" t="str">
        <f>"Off"</f>
        <v>Off</v>
      </c>
      <c r="E3556" t="str">
        <f>"On"</f>
        <v>On</v>
      </c>
      <c r="F3556" t="str">
        <f>"On"</f>
        <v>On</v>
      </c>
      <c r="G3556" t="str">
        <f>"On"</f>
        <v>On</v>
      </c>
      <c r="H3556" t="str">
        <f>"On"</f>
        <v>On</v>
      </c>
      <c r="I3556" t="str">
        <f>"Off"</f>
        <v>Off</v>
      </c>
      <c r="J3556" t="str">
        <f>"Off"</f>
        <v>Off</v>
      </c>
      <c r="K3556" t="str">
        <f>"On"</f>
        <v>On</v>
      </c>
      <c r="L3556" t="str">
        <f>"On"</f>
        <v>On</v>
      </c>
      <c r="M3556" t="str">
        <f>"On"</f>
        <v>On</v>
      </c>
      <c r="N3556" t="str">
        <f>"Off"</f>
        <v>Off</v>
      </c>
      <c r="O3556" t="str">
        <f>"Off"</f>
        <v>Off</v>
      </c>
      <c r="P3556" t="str">
        <f>"On"</f>
        <v>On</v>
      </c>
      <c r="Q3556" t="str">
        <f>"Off"</f>
        <v>Off</v>
      </c>
      <c r="R3556" t="str">
        <f>"Off"</f>
        <v>Off</v>
      </c>
      <c r="S3556" t="str">
        <f>"On"</f>
        <v>On</v>
      </c>
      <c r="T3556" t="str">
        <f>"On"</f>
        <v>On</v>
      </c>
      <c r="U3556" t="str">
        <f>"On"</f>
        <v>On</v>
      </c>
      <c r="V3556" t="str">
        <f>"On"</f>
        <v>On</v>
      </c>
      <c r="W3556" t="str">
        <f>"Off"</f>
        <v>Off</v>
      </c>
      <c r="X3556" t="str">
        <f>"Off"</f>
        <v>Off</v>
      </c>
      <c r="Y3556" t="str">
        <f>"On"</f>
        <v>On</v>
      </c>
      <c r="Z3556" t="str">
        <f>"On"</f>
        <v>On</v>
      </c>
      <c r="AA3556" t="str">
        <f>"On"</f>
        <v>On</v>
      </c>
      <c r="AB3556" t="str">
        <f t="shared" ref="AB3556:AG3557" si="621">"Off"</f>
        <v>Off</v>
      </c>
      <c r="AC3556" t="str">
        <f t="shared" si="621"/>
        <v>Off</v>
      </c>
      <c r="AD3556" t="str">
        <f t="shared" si="621"/>
        <v>Off</v>
      </c>
      <c r="AE3556" t="str">
        <f t="shared" si="621"/>
        <v>Off</v>
      </c>
      <c r="AF3556" t="str">
        <f t="shared" si="621"/>
        <v>Off</v>
      </c>
      <c r="AG3556" t="str">
        <f t="shared" si="621"/>
        <v>Off</v>
      </c>
      <c r="AH3556" t="str">
        <f t="shared" ref="AH3556:AO3556" si="622">"On"</f>
        <v>On</v>
      </c>
      <c r="AI3556" t="str">
        <f t="shared" si="622"/>
        <v>On</v>
      </c>
      <c r="AJ3556" t="str">
        <f t="shared" si="622"/>
        <v>On</v>
      </c>
      <c r="AK3556" t="str">
        <f t="shared" si="622"/>
        <v>On</v>
      </c>
      <c r="AL3556" t="str">
        <f t="shared" si="622"/>
        <v>On</v>
      </c>
      <c r="AM3556" t="str">
        <f t="shared" si="622"/>
        <v>On</v>
      </c>
      <c r="AN3556" t="str">
        <f t="shared" si="622"/>
        <v>On</v>
      </c>
      <c r="AO3556" t="str">
        <f t="shared" si="622"/>
        <v>On</v>
      </c>
      <c r="AP3556" t="str">
        <f t="shared" ref="AP3556:AY3557" si="623">"Off"</f>
        <v>Off</v>
      </c>
      <c r="AQ3556" t="str">
        <f t="shared" si="623"/>
        <v>Off</v>
      </c>
      <c r="AR3556" t="str">
        <f t="shared" si="623"/>
        <v>Off</v>
      </c>
      <c r="AS3556" t="str">
        <f t="shared" si="623"/>
        <v>Off</v>
      </c>
      <c r="AT3556" t="str">
        <f t="shared" si="623"/>
        <v>Off</v>
      </c>
      <c r="AU3556" t="str">
        <f t="shared" si="623"/>
        <v>Off</v>
      </c>
      <c r="AV3556" t="str">
        <f t="shared" si="623"/>
        <v>Off</v>
      </c>
      <c r="AW3556" t="str">
        <f t="shared" si="623"/>
        <v>Off</v>
      </c>
      <c r="AX3556" t="str">
        <f t="shared" si="623"/>
        <v>Off</v>
      </c>
      <c r="AY3556" t="str">
        <f t="shared" si="623"/>
        <v>Off</v>
      </c>
      <c r="AZ3556" t="str">
        <f t="shared" ref="AZ3556:BI3557" si="624">"Off"</f>
        <v>Off</v>
      </c>
      <c r="BA3556" t="str">
        <f t="shared" si="624"/>
        <v>Off</v>
      </c>
      <c r="BB3556" t="str">
        <f t="shared" si="624"/>
        <v>Off</v>
      </c>
      <c r="BC3556" t="str">
        <f t="shared" si="624"/>
        <v>Off</v>
      </c>
      <c r="BD3556" t="str">
        <f t="shared" si="624"/>
        <v>Off</v>
      </c>
      <c r="BE3556" t="str">
        <f t="shared" si="624"/>
        <v>Off</v>
      </c>
      <c r="BF3556" t="str">
        <f t="shared" si="624"/>
        <v>Off</v>
      </c>
      <c r="BG3556" t="str">
        <f t="shared" si="624"/>
        <v>Off</v>
      </c>
      <c r="BH3556" t="str">
        <f t="shared" si="624"/>
        <v>Off</v>
      </c>
      <c r="BI3556" t="str">
        <f t="shared" si="624"/>
        <v>Off</v>
      </c>
      <c r="BJ3556" t="str">
        <f t="shared" ref="BJ3556:BS3557" si="625">"Off"</f>
        <v>Off</v>
      </c>
      <c r="BK3556" t="str">
        <f t="shared" si="625"/>
        <v>Off</v>
      </c>
      <c r="BL3556" t="str">
        <f t="shared" si="625"/>
        <v>Off</v>
      </c>
      <c r="BM3556" t="str">
        <f t="shared" si="625"/>
        <v>Off</v>
      </c>
      <c r="BN3556" t="str">
        <f t="shared" si="625"/>
        <v>Off</v>
      </c>
      <c r="BO3556" t="str">
        <f t="shared" si="625"/>
        <v>Off</v>
      </c>
      <c r="BP3556" t="str">
        <f t="shared" si="625"/>
        <v>Off</v>
      </c>
      <c r="BQ3556" t="str">
        <f t="shared" si="625"/>
        <v>Off</v>
      </c>
      <c r="BR3556" t="str">
        <f t="shared" si="625"/>
        <v>Off</v>
      </c>
      <c r="BS3556" t="str">
        <f t="shared" si="625"/>
        <v>Off</v>
      </c>
      <c r="BT3556" t="str">
        <f t="shared" ref="BT3556:CC3557" si="626">"Off"</f>
        <v>Off</v>
      </c>
      <c r="BU3556" t="str">
        <f t="shared" si="626"/>
        <v>Off</v>
      </c>
      <c r="BV3556" t="str">
        <f t="shared" si="626"/>
        <v>Off</v>
      </c>
      <c r="BW3556" t="str">
        <f t="shared" si="626"/>
        <v>Off</v>
      </c>
      <c r="BX3556" t="str">
        <f t="shared" si="626"/>
        <v>Off</v>
      </c>
      <c r="BY3556" t="str">
        <f t="shared" si="626"/>
        <v>Off</v>
      </c>
      <c r="BZ3556" t="str">
        <f t="shared" si="626"/>
        <v>Off</v>
      </c>
      <c r="CA3556" t="str">
        <f t="shared" si="626"/>
        <v>Off</v>
      </c>
      <c r="CB3556" t="str">
        <f t="shared" si="626"/>
        <v>Off</v>
      </c>
      <c r="CC3556" t="str">
        <f t="shared" si="626"/>
        <v>Off</v>
      </c>
      <c r="CD3556" t="str">
        <f t="shared" ref="CD3556:CM3557" si="627">"Off"</f>
        <v>Off</v>
      </c>
      <c r="CE3556" t="str">
        <f t="shared" si="627"/>
        <v>Off</v>
      </c>
      <c r="CF3556" t="str">
        <f t="shared" si="627"/>
        <v>Off</v>
      </c>
      <c r="CG3556" t="str">
        <f t="shared" si="627"/>
        <v>Off</v>
      </c>
      <c r="CH3556" t="str">
        <f t="shared" si="627"/>
        <v>Off</v>
      </c>
      <c r="CI3556" t="str">
        <f t="shared" si="627"/>
        <v>Off</v>
      </c>
      <c r="CJ3556" t="str">
        <f t="shared" si="627"/>
        <v>Off</v>
      </c>
      <c r="CK3556" t="str">
        <f t="shared" si="627"/>
        <v>Off</v>
      </c>
      <c r="CL3556" t="str">
        <f t="shared" si="627"/>
        <v>Off</v>
      </c>
      <c r="CM3556" t="str">
        <f t="shared" si="627"/>
        <v>Off</v>
      </c>
      <c r="CN3556" t="str">
        <f t="shared" ref="CN3556:CW3557" si="628">"Off"</f>
        <v>Off</v>
      </c>
      <c r="CO3556" t="str">
        <f t="shared" si="628"/>
        <v>Off</v>
      </c>
      <c r="CP3556" t="str">
        <f t="shared" si="628"/>
        <v>Off</v>
      </c>
      <c r="CQ3556" t="str">
        <f t="shared" si="628"/>
        <v>Off</v>
      </c>
      <c r="CR3556" t="str">
        <f t="shared" si="628"/>
        <v>Off</v>
      </c>
      <c r="CS3556" t="str">
        <f t="shared" si="628"/>
        <v>Off</v>
      </c>
      <c r="CT3556" t="str">
        <f t="shared" si="628"/>
        <v>Off</v>
      </c>
      <c r="CU3556" t="str">
        <f t="shared" si="628"/>
        <v>Off</v>
      </c>
      <c r="CV3556" t="str">
        <f t="shared" si="628"/>
        <v>Off</v>
      </c>
      <c r="CW3556" t="str">
        <f t="shared" si="628"/>
        <v>Off</v>
      </c>
      <c r="CX3556" t="str">
        <f t="shared" ref="CX3556:DG3557" si="629">"Off"</f>
        <v>Off</v>
      </c>
      <c r="CY3556" t="str">
        <f t="shared" si="629"/>
        <v>Off</v>
      </c>
      <c r="CZ3556" t="str">
        <f t="shared" si="629"/>
        <v>Off</v>
      </c>
      <c r="DA3556" t="str">
        <f t="shared" si="629"/>
        <v>Off</v>
      </c>
      <c r="DB3556" t="str">
        <f t="shared" si="629"/>
        <v>Off</v>
      </c>
      <c r="DC3556" t="str">
        <f t="shared" si="629"/>
        <v>Off</v>
      </c>
      <c r="DD3556" t="str">
        <f t="shared" si="629"/>
        <v>Off</v>
      </c>
      <c r="DE3556" t="str">
        <f t="shared" si="629"/>
        <v>Off</v>
      </c>
      <c r="DF3556" t="str">
        <f t="shared" si="629"/>
        <v>Off</v>
      </c>
      <c r="DG3556" t="str">
        <f t="shared" si="629"/>
        <v>Off</v>
      </c>
      <c r="DH3556" t="str">
        <f t="shared" ref="DH3556:DQ3557" si="630">"Off"</f>
        <v>Off</v>
      </c>
      <c r="DI3556" t="str">
        <f t="shared" si="630"/>
        <v>Off</v>
      </c>
      <c r="DJ3556" t="str">
        <f t="shared" si="630"/>
        <v>Off</v>
      </c>
      <c r="DK3556" t="str">
        <f t="shared" si="630"/>
        <v>Off</v>
      </c>
      <c r="DL3556" t="str">
        <f t="shared" si="630"/>
        <v>Off</v>
      </c>
      <c r="DM3556" t="str">
        <f t="shared" si="630"/>
        <v>Off</v>
      </c>
      <c r="DN3556" t="str">
        <f t="shared" si="630"/>
        <v>Off</v>
      </c>
      <c r="DO3556" t="str">
        <f t="shared" si="630"/>
        <v>Off</v>
      </c>
      <c r="DP3556" t="str">
        <f t="shared" si="630"/>
        <v>Off</v>
      </c>
      <c r="DQ3556" t="str">
        <f t="shared" si="630"/>
        <v>Off</v>
      </c>
      <c r="DR3556" t="str">
        <f t="shared" ref="DR3556:DY3557" si="631">"Off"</f>
        <v>Off</v>
      </c>
      <c r="DS3556" t="str">
        <f t="shared" si="631"/>
        <v>Off</v>
      </c>
      <c r="DT3556" t="str">
        <f t="shared" si="631"/>
        <v>Off</v>
      </c>
      <c r="DU3556" t="str">
        <f t="shared" si="631"/>
        <v>Off</v>
      </c>
      <c r="DV3556" t="str">
        <f t="shared" si="631"/>
        <v>Off</v>
      </c>
      <c r="DW3556" t="str">
        <f t="shared" si="631"/>
        <v>Off</v>
      </c>
      <c r="DX3556" t="str">
        <f t="shared" si="631"/>
        <v>Off</v>
      </c>
      <c r="DY3556" t="str">
        <f t="shared" si="631"/>
        <v>Off</v>
      </c>
    </row>
    <row r="3557" spans="1:129">
      <c r="A3557" t="s">
        <v>3602</v>
      </c>
      <c r="B3557" t="str">
        <f>"Off"</f>
        <v>Off</v>
      </c>
      <c r="C3557" t="str">
        <f>"Off"</f>
        <v>Off</v>
      </c>
      <c r="D3557" t="str">
        <f>"Off"</f>
        <v>Off</v>
      </c>
      <c r="E3557" t="str">
        <f>"Off"</f>
        <v>Off</v>
      </c>
      <c r="F3557" t="str">
        <f>"Off"</f>
        <v>Off</v>
      </c>
      <c r="G3557" t="str">
        <f>"Off"</f>
        <v>Off</v>
      </c>
      <c r="H3557" t="str">
        <f>"Off"</f>
        <v>Off</v>
      </c>
      <c r="I3557" t="str">
        <f>"Off"</f>
        <v>Off</v>
      </c>
      <c r="J3557" t="str">
        <f>"Off"</f>
        <v>Off</v>
      </c>
      <c r="K3557" t="str">
        <f>"Off"</f>
        <v>Off</v>
      </c>
      <c r="L3557" t="str">
        <f>"Off"</f>
        <v>Off</v>
      </c>
      <c r="M3557" t="str">
        <f>"Off"</f>
        <v>Off</v>
      </c>
      <c r="N3557" t="str">
        <f>"Off"</f>
        <v>Off</v>
      </c>
      <c r="O3557" t="str">
        <f>"Off"</f>
        <v>Off</v>
      </c>
      <c r="P3557" t="str">
        <f>"Off"</f>
        <v>Off</v>
      </c>
      <c r="Q3557" t="str">
        <f>"Off"</f>
        <v>Off</v>
      </c>
      <c r="R3557" t="str">
        <f>"Off"</f>
        <v>Off</v>
      </c>
      <c r="S3557" t="str">
        <f>"Off"</f>
        <v>Off</v>
      </c>
      <c r="T3557" t="str">
        <f>"Off"</f>
        <v>Off</v>
      </c>
      <c r="U3557" t="str">
        <f>"Off"</f>
        <v>Off</v>
      </c>
      <c r="V3557" t="str">
        <f>"Off"</f>
        <v>Off</v>
      </c>
      <c r="W3557" t="str">
        <f>"Off"</f>
        <v>Off</v>
      </c>
      <c r="X3557" t="str">
        <f>"Off"</f>
        <v>Off</v>
      </c>
      <c r="Y3557" t="str">
        <f>"Off"</f>
        <v>Off</v>
      </c>
      <c r="Z3557" t="str">
        <f>"Off"</f>
        <v>Off</v>
      </c>
      <c r="AA3557" t="str">
        <f>"Off"</f>
        <v>Off</v>
      </c>
      <c r="AB3557" t="str">
        <f t="shared" si="621"/>
        <v>Off</v>
      </c>
      <c r="AC3557" t="str">
        <f t="shared" si="621"/>
        <v>Off</v>
      </c>
      <c r="AD3557" t="str">
        <f t="shared" si="621"/>
        <v>Off</v>
      </c>
      <c r="AE3557" t="str">
        <f t="shared" si="621"/>
        <v>Off</v>
      </c>
      <c r="AF3557" t="str">
        <f t="shared" si="621"/>
        <v>Off</v>
      </c>
      <c r="AG3557" t="str">
        <f t="shared" si="621"/>
        <v>Off</v>
      </c>
      <c r="AH3557" t="str">
        <f t="shared" ref="AH3557:AO3557" si="632">"Off"</f>
        <v>Off</v>
      </c>
      <c r="AI3557" t="str">
        <f t="shared" si="632"/>
        <v>Off</v>
      </c>
      <c r="AJ3557" t="str">
        <f t="shared" si="632"/>
        <v>Off</v>
      </c>
      <c r="AK3557" t="str">
        <f t="shared" si="632"/>
        <v>Off</v>
      </c>
      <c r="AL3557" t="str">
        <f t="shared" si="632"/>
        <v>Off</v>
      </c>
      <c r="AM3557" t="str">
        <f t="shared" si="632"/>
        <v>Off</v>
      </c>
      <c r="AN3557" t="str">
        <f t="shared" si="632"/>
        <v>Off</v>
      </c>
      <c r="AO3557" t="str">
        <f t="shared" si="632"/>
        <v>Off</v>
      </c>
      <c r="AP3557" t="str">
        <f t="shared" si="623"/>
        <v>Off</v>
      </c>
      <c r="AQ3557" t="str">
        <f t="shared" si="623"/>
        <v>Off</v>
      </c>
      <c r="AR3557" t="str">
        <f t="shared" si="623"/>
        <v>Off</v>
      </c>
      <c r="AS3557" t="str">
        <f t="shared" si="623"/>
        <v>Off</v>
      </c>
      <c r="AT3557" t="str">
        <f t="shared" si="623"/>
        <v>Off</v>
      </c>
      <c r="AU3557" t="str">
        <f t="shared" si="623"/>
        <v>Off</v>
      </c>
      <c r="AV3557" t="str">
        <f t="shared" si="623"/>
        <v>Off</v>
      </c>
      <c r="AW3557" t="str">
        <f t="shared" si="623"/>
        <v>Off</v>
      </c>
      <c r="AX3557" t="str">
        <f t="shared" si="623"/>
        <v>Off</v>
      </c>
      <c r="AY3557" t="str">
        <f t="shared" si="623"/>
        <v>Off</v>
      </c>
      <c r="AZ3557" t="str">
        <f t="shared" si="624"/>
        <v>Off</v>
      </c>
      <c r="BA3557" t="str">
        <f t="shared" si="624"/>
        <v>Off</v>
      </c>
      <c r="BB3557" t="str">
        <f t="shared" si="624"/>
        <v>Off</v>
      </c>
      <c r="BC3557" t="str">
        <f t="shared" si="624"/>
        <v>Off</v>
      </c>
      <c r="BD3557" t="str">
        <f t="shared" si="624"/>
        <v>Off</v>
      </c>
      <c r="BE3557" t="str">
        <f t="shared" si="624"/>
        <v>Off</v>
      </c>
      <c r="BF3557" t="str">
        <f t="shared" si="624"/>
        <v>Off</v>
      </c>
      <c r="BG3557" t="str">
        <f t="shared" si="624"/>
        <v>Off</v>
      </c>
      <c r="BH3557" t="str">
        <f t="shared" si="624"/>
        <v>Off</v>
      </c>
      <c r="BI3557" t="str">
        <f t="shared" si="624"/>
        <v>Off</v>
      </c>
      <c r="BJ3557" t="str">
        <f t="shared" si="625"/>
        <v>Off</v>
      </c>
      <c r="BK3557" t="str">
        <f t="shared" si="625"/>
        <v>Off</v>
      </c>
      <c r="BL3557" t="str">
        <f t="shared" si="625"/>
        <v>Off</v>
      </c>
      <c r="BM3557" t="str">
        <f t="shared" si="625"/>
        <v>Off</v>
      </c>
      <c r="BN3557" t="str">
        <f t="shared" si="625"/>
        <v>Off</v>
      </c>
      <c r="BO3557" t="str">
        <f t="shared" si="625"/>
        <v>Off</v>
      </c>
      <c r="BP3557" t="str">
        <f t="shared" si="625"/>
        <v>Off</v>
      </c>
      <c r="BQ3557" t="str">
        <f t="shared" si="625"/>
        <v>Off</v>
      </c>
      <c r="BR3557" t="str">
        <f t="shared" si="625"/>
        <v>Off</v>
      </c>
      <c r="BS3557" t="str">
        <f t="shared" si="625"/>
        <v>Off</v>
      </c>
      <c r="BT3557" t="str">
        <f t="shared" si="626"/>
        <v>Off</v>
      </c>
      <c r="BU3557" t="str">
        <f t="shared" si="626"/>
        <v>Off</v>
      </c>
      <c r="BV3557" t="str">
        <f t="shared" si="626"/>
        <v>Off</v>
      </c>
      <c r="BW3557" t="str">
        <f t="shared" si="626"/>
        <v>Off</v>
      </c>
      <c r="BX3557" t="str">
        <f t="shared" si="626"/>
        <v>Off</v>
      </c>
      <c r="BY3557" t="str">
        <f t="shared" si="626"/>
        <v>Off</v>
      </c>
      <c r="BZ3557" t="str">
        <f t="shared" si="626"/>
        <v>Off</v>
      </c>
      <c r="CA3557" t="str">
        <f t="shared" si="626"/>
        <v>Off</v>
      </c>
      <c r="CB3557" t="str">
        <f t="shared" si="626"/>
        <v>Off</v>
      </c>
      <c r="CC3557" t="str">
        <f t="shared" si="626"/>
        <v>Off</v>
      </c>
      <c r="CD3557" t="str">
        <f t="shared" si="627"/>
        <v>Off</v>
      </c>
      <c r="CE3557" t="str">
        <f t="shared" si="627"/>
        <v>Off</v>
      </c>
      <c r="CF3557" t="str">
        <f t="shared" si="627"/>
        <v>Off</v>
      </c>
      <c r="CG3557" t="str">
        <f t="shared" si="627"/>
        <v>Off</v>
      </c>
      <c r="CH3557" t="str">
        <f t="shared" si="627"/>
        <v>Off</v>
      </c>
      <c r="CI3557" t="str">
        <f t="shared" si="627"/>
        <v>Off</v>
      </c>
      <c r="CJ3557" t="str">
        <f t="shared" si="627"/>
        <v>Off</v>
      </c>
      <c r="CK3557" t="str">
        <f t="shared" si="627"/>
        <v>Off</v>
      </c>
      <c r="CL3557" t="str">
        <f t="shared" si="627"/>
        <v>Off</v>
      </c>
      <c r="CM3557" t="str">
        <f t="shared" si="627"/>
        <v>Off</v>
      </c>
      <c r="CN3557" t="str">
        <f t="shared" si="628"/>
        <v>Off</v>
      </c>
      <c r="CO3557" t="str">
        <f t="shared" si="628"/>
        <v>Off</v>
      </c>
      <c r="CP3557" t="str">
        <f t="shared" si="628"/>
        <v>Off</v>
      </c>
      <c r="CQ3557" t="str">
        <f t="shared" si="628"/>
        <v>Off</v>
      </c>
      <c r="CR3557" t="str">
        <f t="shared" si="628"/>
        <v>Off</v>
      </c>
      <c r="CS3557" t="str">
        <f t="shared" si="628"/>
        <v>Off</v>
      </c>
      <c r="CT3557" t="str">
        <f t="shared" si="628"/>
        <v>Off</v>
      </c>
      <c r="CU3557" t="str">
        <f t="shared" si="628"/>
        <v>Off</v>
      </c>
      <c r="CV3557" t="str">
        <f t="shared" si="628"/>
        <v>Off</v>
      </c>
      <c r="CW3557" t="str">
        <f t="shared" si="628"/>
        <v>Off</v>
      </c>
      <c r="CX3557" t="str">
        <f t="shared" si="629"/>
        <v>Off</v>
      </c>
      <c r="CY3557" t="str">
        <f t="shared" si="629"/>
        <v>Off</v>
      </c>
      <c r="CZ3557" t="str">
        <f t="shared" si="629"/>
        <v>Off</v>
      </c>
      <c r="DA3557" t="str">
        <f t="shared" si="629"/>
        <v>Off</v>
      </c>
      <c r="DB3557" t="str">
        <f t="shared" si="629"/>
        <v>Off</v>
      </c>
      <c r="DC3557" t="str">
        <f t="shared" si="629"/>
        <v>Off</v>
      </c>
      <c r="DD3557" t="str">
        <f t="shared" si="629"/>
        <v>Off</v>
      </c>
      <c r="DE3557" t="str">
        <f t="shared" si="629"/>
        <v>Off</v>
      </c>
      <c r="DF3557" t="str">
        <f t="shared" si="629"/>
        <v>Off</v>
      </c>
      <c r="DG3557" t="str">
        <f t="shared" si="629"/>
        <v>Off</v>
      </c>
      <c r="DH3557" t="str">
        <f t="shared" si="630"/>
        <v>Off</v>
      </c>
      <c r="DI3557" t="str">
        <f t="shared" si="630"/>
        <v>Off</v>
      </c>
      <c r="DJ3557" t="str">
        <f t="shared" si="630"/>
        <v>Off</v>
      </c>
      <c r="DK3557" t="str">
        <f t="shared" si="630"/>
        <v>Off</v>
      </c>
      <c r="DL3557" t="str">
        <f t="shared" si="630"/>
        <v>Off</v>
      </c>
      <c r="DM3557" t="str">
        <f t="shared" si="630"/>
        <v>Off</v>
      </c>
      <c r="DN3557" t="str">
        <f t="shared" si="630"/>
        <v>Off</v>
      </c>
      <c r="DO3557" t="str">
        <f t="shared" si="630"/>
        <v>Off</v>
      </c>
      <c r="DP3557" t="str">
        <f t="shared" si="630"/>
        <v>Off</v>
      </c>
      <c r="DQ3557" t="str">
        <f t="shared" si="630"/>
        <v>Off</v>
      </c>
      <c r="DR3557" t="str">
        <f t="shared" si="631"/>
        <v>Off</v>
      </c>
      <c r="DS3557" t="str">
        <f t="shared" si="631"/>
        <v>Off</v>
      </c>
      <c r="DT3557" t="str">
        <f t="shared" si="631"/>
        <v>Off</v>
      </c>
      <c r="DU3557" t="str">
        <f t="shared" si="631"/>
        <v>Off</v>
      </c>
      <c r="DV3557" t="str">
        <f t="shared" si="631"/>
        <v>Off</v>
      </c>
      <c r="DW3557" t="str">
        <f t="shared" si="631"/>
        <v>Off</v>
      </c>
      <c r="DX3557" t="str">
        <f t="shared" si="631"/>
        <v>Off</v>
      </c>
      <c r="DY3557" t="str">
        <f t="shared" si="631"/>
        <v>Off</v>
      </c>
    </row>
    <row r="3559" spans="1:129">
      <c r="B3559" t="s">
        <v>3603</v>
      </c>
      <c r="C3559">
        <v>25</v>
      </c>
      <c r="D3559">
        <v>16</v>
      </c>
      <c r="E3559">
        <v>1</v>
      </c>
    </row>
    <row r="3560" spans="1:129">
      <c r="B3560" t="s">
        <v>1511</v>
      </c>
      <c r="C3560" t="s">
        <v>1512</v>
      </c>
      <c r="D3560" t="s">
        <v>1513</v>
      </c>
      <c r="E3560" t="s">
        <v>1514</v>
      </c>
      <c r="F3560" t="s">
        <v>1515</v>
      </c>
      <c r="G3560" t="s">
        <v>1516</v>
      </c>
      <c r="H3560" t="s">
        <v>1517</v>
      </c>
      <c r="I3560" t="s">
        <v>1518</v>
      </c>
      <c r="J3560" t="s">
        <v>3604</v>
      </c>
      <c r="K3560" t="s">
        <v>3605</v>
      </c>
      <c r="L3560" t="s">
        <v>3606</v>
      </c>
      <c r="M3560" t="s">
        <v>3607</v>
      </c>
      <c r="N3560" t="s">
        <v>3608</v>
      </c>
      <c r="O3560" t="s">
        <v>3609</v>
      </c>
      <c r="P3560" t="s">
        <v>3610</v>
      </c>
      <c r="Q3560" t="s">
        <v>3611</v>
      </c>
    </row>
    <row r="3561" spans="1:129">
      <c r="A3561" t="s">
        <v>2483</v>
      </c>
      <c r="B3561" t="str">
        <f t="shared" ref="B3561:Q3562" si="633">"Off"</f>
        <v>Off</v>
      </c>
      <c r="C3561" t="str">
        <f t="shared" si="633"/>
        <v>Off</v>
      </c>
      <c r="D3561" t="str">
        <f t="shared" si="633"/>
        <v>Off</v>
      </c>
      <c r="E3561" t="str">
        <f t="shared" si="633"/>
        <v>Off</v>
      </c>
      <c r="F3561" t="str">
        <f t="shared" si="633"/>
        <v>Off</v>
      </c>
      <c r="G3561" t="str">
        <f t="shared" si="633"/>
        <v>Off</v>
      </c>
      <c r="H3561" t="str">
        <f t="shared" si="633"/>
        <v>Off</v>
      </c>
      <c r="I3561" t="str">
        <f t="shared" si="633"/>
        <v>Off</v>
      </c>
      <c r="J3561" t="str">
        <f t="shared" si="633"/>
        <v>Off</v>
      </c>
      <c r="K3561" t="str">
        <f t="shared" si="633"/>
        <v>Off</v>
      </c>
      <c r="L3561" t="str">
        <f t="shared" si="633"/>
        <v>Off</v>
      </c>
      <c r="M3561" t="str">
        <f t="shared" si="633"/>
        <v>Off</v>
      </c>
      <c r="N3561" t="str">
        <f t="shared" si="633"/>
        <v>Off</v>
      </c>
      <c r="O3561" t="str">
        <f t="shared" si="633"/>
        <v>Off</v>
      </c>
      <c r="P3561" t="str">
        <f t="shared" si="633"/>
        <v>Off</v>
      </c>
      <c r="Q3561" t="str">
        <f t="shared" si="633"/>
        <v>Off</v>
      </c>
    </row>
    <row r="3562" spans="1:129">
      <c r="A3562" t="s">
        <v>108</v>
      </c>
      <c r="B3562" t="str">
        <f t="shared" si="633"/>
        <v>Off</v>
      </c>
      <c r="C3562" t="str">
        <f t="shared" si="633"/>
        <v>Off</v>
      </c>
      <c r="D3562" t="str">
        <f t="shared" si="633"/>
        <v>Off</v>
      </c>
      <c r="E3562" t="str">
        <f t="shared" si="633"/>
        <v>Off</v>
      </c>
      <c r="F3562" t="str">
        <f t="shared" si="633"/>
        <v>Off</v>
      </c>
      <c r="G3562" t="str">
        <f t="shared" si="633"/>
        <v>Off</v>
      </c>
      <c r="H3562" t="str">
        <f t="shared" si="633"/>
        <v>Off</v>
      </c>
      <c r="I3562" t="str">
        <f t="shared" si="633"/>
        <v>Off</v>
      </c>
      <c r="J3562" t="str">
        <f t="shared" si="633"/>
        <v>Off</v>
      </c>
      <c r="K3562" t="str">
        <f t="shared" si="633"/>
        <v>Off</v>
      </c>
      <c r="L3562" t="str">
        <f t="shared" si="633"/>
        <v>Off</v>
      </c>
      <c r="M3562" t="str">
        <f t="shared" si="633"/>
        <v>Off</v>
      </c>
      <c r="N3562" t="str">
        <f t="shared" si="633"/>
        <v>Off</v>
      </c>
      <c r="O3562" t="str">
        <f t="shared" si="633"/>
        <v>Off</v>
      </c>
      <c r="P3562" t="str">
        <f t="shared" si="633"/>
        <v>Off</v>
      </c>
      <c r="Q3562" t="str">
        <f t="shared" si="633"/>
        <v>Off</v>
      </c>
    </row>
    <row r="3563" spans="1:129">
      <c r="A3563" t="s">
        <v>2434</v>
      </c>
      <c r="B3563">
        <v>0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</row>
    <row r="3564" spans="1:129">
      <c r="A3564" t="s">
        <v>3612</v>
      </c>
      <c r="B3564">
        <v>0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</row>
    <row r="3565" spans="1:129">
      <c r="A3565" t="s">
        <v>3613</v>
      </c>
      <c r="B3565">
        <v>0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</row>
    <row r="3566" spans="1:129">
      <c r="A3566" t="s">
        <v>2783</v>
      </c>
      <c r="B3566">
        <v>0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</row>
    <row r="3567" spans="1:129">
      <c r="A3567" t="s">
        <v>2439</v>
      </c>
      <c r="B3567">
        <v>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</row>
    <row r="3568" spans="1:129">
      <c r="A3568" t="s">
        <v>2435</v>
      </c>
      <c r="B3568">
        <v>0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</row>
    <row r="3569" spans="1:17">
      <c r="A3569" t="s">
        <v>3614</v>
      </c>
      <c r="B3569" t="str">
        <f t="shared" ref="B3569:Q3569" si="634">"NORM "</f>
        <v xml:space="preserve">NORM </v>
      </c>
      <c r="C3569" t="str">
        <f t="shared" si="634"/>
        <v xml:space="preserve">NORM </v>
      </c>
      <c r="D3569" t="str">
        <f t="shared" si="634"/>
        <v xml:space="preserve">NORM </v>
      </c>
      <c r="E3569" t="str">
        <f t="shared" si="634"/>
        <v xml:space="preserve">NORM </v>
      </c>
      <c r="F3569" t="str">
        <f t="shared" si="634"/>
        <v xml:space="preserve">NORM </v>
      </c>
      <c r="G3569" t="str">
        <f t="shared" si="634"/>
        <v xml:space="preserve">NORM </v>
      </c>
      <c r="H3569" t="str">
        <f t="shared" si="634"/>
        <v xml:space="preserve">NORM </v>
      </c>
      <c r="I3569" t="str">
        <f t="shared" si="634"/>
        <v xml:space="preserve">NORM </v>
      </c>
      <c r="J3569" t="str">
        <f t="shared" si="634"/>
        <v xml:space="preserve">NORM </v>
      </c>
      <c r="K3569" t="str">
        <f t="shared" si="634"/>
        <v xml:space="preserve">NORM </v>
      </c>
      <c r="L3569" t="str">
        <f t="shared" si="634"/>
        <v xml:space="preserve">NORM </v>
      </c>
      <c r="M3569" t="str">
        <f t="shared" si="634"/>
        <v xml:space="preserve">NORM </v>
      </c>
      <c r="N3569" t="str">
        <f t="shared" si="634"/>
        <v xml:space="preserve">NORM </v>
      </c>
      <c r="O3569" t="str">
        <f t="shared" si="634"/>
        <v xml:space="preserve">NORM </v>
      </c>
      <c r="P3569" t="str">
        <f t="shared" si="634"/>
        <v xml:space="preserve">NORM </v>
      </c>
      <c r="Q3569" t="str">
        <f t="shared" si="634"/>
        <v xml:space="preserve">NORM </v>
      </c>
    </row>
    <row r="3570" spans="1:17">
      <c r="A3570" t="s">
        <v>3594</v>
      </c>
      <c r="B3570" t="str">
        <f t="shared" ref="B3570:Q3570" si="635">"Off"</f>
        <v>Off</v>
      </c>
      <c r="C3570" t="str">
        <f t="shared" si="635"/>
        <v>Off</v>
      </c>
      <c r="D3570" t="str">
        <f t="shared" si="635"/>
        <v>Off</v>
      </c>
      <c r="E3570" t="str">
        <f t="shared" si="635"/>
        <v>Off</v>
      </c>
      <c r="F3570" t="str">
        <f t="shared" si="635"/>
        <v>Off</v>
      </c>
      <c r="G3570" t="str">
        <f t="shared" si="635"/>
        <v>Off</v>
      </c>
      <c r="H3570" t="str">
        <f t="shared" si="635"/>
        <v>Off</v>
      </c>
      <c r="I3570" t="str">
        <f t="shared" si="635"/>
        <v>Off</v>
      </c>
      <c r="J3570" t="str">
        <f t="shared" si="635"/>
        <v>Off</v>
      </c>
      <c r="K3570" t="str">
        <f t="shared" si="635"/>
        <v>Off</v>
      </c>
      <c r="L3570" t="str">
        <f t="shared" si="635"/>
        <v>Off</v>
      </c>
      <c r="M3570" t="str">
        <f t="shared" si="635"/>
        <v>Off</v>
      </c>
      <c r="N3570" t="str">
        <f t="shared" si="635"/>
        <v>Off</v>
      </c>
      <c r="O3570" t="str">
        <f t="shared" si="635"/>
        <v>Off</v>
      </c>
      <c r="P3570" t="str">
        <f t="shared" si="635"/>
        <v>Off</v>
      </c>
      <c r="Q3570" t="str">
        <f t="shared" si="635"/>
        <v>Off</v>
      </c>
    </row>
    <row r="3571" spans="1:17">
      <c r="A3571" t="s">
        <v>3595</v>
      </c>
      <c r="B3571">
        <v>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</row>
    <row r="3572" spans="1:17">
      <c r="A3572" t="s">
        <v>3596</v>
      </c>
      <c r="B3572">
        <v>0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</row>
    <row r="3573" spans="1:17">
      <c r="A3573" t="s">
        <v>3615</v>
      </c>
      <c r="B3573" t="str">
        <f t="shared" ref="B3573:Q3573" si="636">"Off"</f>
        <v>Off</v>
      </c>
      <c r="C3573" t="str">
        <f t="shared" si="636"/>
        <v>Off</v>
      </c>
      <c r="D3573" t="str">
        <f t="shared" si="636"/>
        <v>Off</v>
      </c>
      <c r="E3573" t="str">
        <f t="shared" si="636"/>
        <v>Off</v>
      </c>
      <c r="F3573" t="str">
        <f t="shared" si="636"/>
        <v>Off</v>
      </c>
      <c r="G3573" t="str">
        <f t="shared" si="636"/>
        <v>Off</v>
      </c>
      <c r="H3573" t="str">
        <f t="shared" si="636"/>
        <v>Off</v>
      </c>
      <c r="I3573" t="str">
        <f t="shared" si="636"/>
        <v>Off</v>
      </c>
      <c r="J3573" t="str">
        <f t="shared" si="636"/>
        <v>Off</v>
      </c>
      <c r="K3573" t="str">
        <f t="shared" si="636"/>
        <v>Off</v>
      </c>
      <c r="L3573" t="str">
        <f t="shared" si="636"/>
        <v>Off</v>
      </c>
      <c r="M3573" t="str">
        <f t="shared" si="636"/>
        <v>Off</v>
      </c>
      <c r="N3573" t="str">
        <f t="shared" si="636"/>
        <v>Off</v>
      </c>
      <c r="O3573" t="str">
        <f t="shared" si="636"/>
        <v>Off</v>
      </c>
      <c r="P3573" t="str">
        <f t="shared" si="636"/>
        <v>Off</v>
      </c>
      <c r="Q3573" t="str">
        <f t="shared" si="636"/>
        <v>Off</v>
      </c>
    </row>
    <row r="3574" spans="1:17">
      <c r="A3574" t="s">
        <v>2436</v>
      </c>
      <c r="B3574">
        <v>0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</row>
    <row r="3575" spans="1:17">
      <c r="A3575" t="s">
        <v>2437</v>
      </c>
      <c r="B3575">
        <v>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</row>
    <row r="3576" spans="1:17">
      <c r="A3576" t="s">
        <v>109</v>
      </c>
      <c r="B3576" t="str">
        <f t="shared" ref="B3576:Q3577" si="637">"Off"</f>
        <v>Off</v>
      </c>
      <c r="C3576" t="str">
        <f t="shared" si="637"/>
        <v>Off</v>
      </c>
      <c r="D3576" t="str">
        <f t="shared" si="637"/>
        <v>Off</v>
      </c>
      <c r="E3576" t="str">
        <f t="shared" si="637"/>
        <v>Off</v>
      </c>
      <c r="F3576" t="str">
        <f t="shared" si="637"/>
        <v>Off</v>
      </c>
      <c r="G3576" t="str">
        <f t="shared" si="637"/>
        <v>Off</v>
      </c>
      <c r="H3576" t="str">
        <f t="shared" si="637"/>
        <v>Off</v>
      </c>
      <c r="I3576" t="str">
        <f t="shared" si="637"/>
        <v>Off</v>
      </c>
      <c r="J3576" t="str">
        <f t="shared" si="637"/>
        <v>Off</v>
      </c>
      <c r="K3576" t="str">
        <f t="shared" si="637"/>
        <v>Off</v>
      </c>
      <c r="L3576" t="str">
        <f t="shared" si="637"/>
        <v>Off</v>
      </c>
      <c r="M3576" t="str">
        <f t="shared" si="637"/>
        <v>Off</v>
      </c>
      <c r="N3576" t="str">
        <f t="shared" si="637"/>
        <v>Off</v>
      </c>
      <c r="O3576" t="str">
        <f t="shared" si="637"/>
        <v>Off</v>
      </c>
      <c r="P3576" t="str">
        <f t="shared" si="637"/>
        <v>Off</v>
      </c>
      <c r="Q3576" t="str">
        <f t="shared" si="637"/>
        <v>Off</v>
      </c>
    </row>
    <row r="3577" spans="1:17">
      <c r="A3577" t="s">
        <v>3597</v>
      </c>
      <c r="B3577" t="str">
        <f t="shared" si="637"/>
        <v>Off</v>
      </c>
      <c r="C3577" t="str">
        <f t="shared" si="637"/>
        <v>Off</v>
      </c>
      <c r="D3577" t="str">
        <f t="shared" si="637"/>
        <v>Off</v>
      </c>
      <c r="E3577" t="str">
        <f t="shared" si="637"/>
        <v>Off</v>
      </c>
      <c r="F3577" t="str">
        <f t="shared" si="637"/>
        <v>Off</v>
      </c>
      <c r="G3577" t="str">
        <f t="shared" si="637"/>
        <v>Off</v>
      </c>
      <c r="H3577" t="str">
        <f t="shared" si="637"/>
        <v>Off</v>
      </c>
      <c r="I3577" t="str">
        <f t="shared" si="637"/>
        <v>Off</v>
      </c>
      <c r="J3577" t="str">
        <f t="shared" si="637"/>
        <v>Off</v>
      </c>
      <c r="K3577" t="str">
        <f t="shared" si="637"/>
        <v>Off</v>
      </c>
      <c r="L3577" t="str">
        <f t="shared" si="637"/>
        <v>Off</v>
      </c>
      <c r="M3577" t="str">
        <f t="shared" si="637"/>
        <v>Off</v>
      </c>
      <c r="N3577" t="str">
        <f t="shared" si="637"/>
        <v>Off</v>
      </c>
      <c r="O3577" t="str">
        <f t="shared" si="637"/>
        <v>Off</v>
      </c>
      <c r="P3577" t="str">
        <f t="shared" si="637"/>
        <v>Off</v>
      </c>
      <c r="Q3577" t="str">
        <f t="shared" si="637"/>
        <v>Off</v>
      </c>
    </row>
    <row r="3578" spans="1:17">
      <c r="A3578" t="s">
        <v>3598</v>
      </c>
      <c r="B3578">
        <v>0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</row>
    <row r="3579" spans="1:17">
      <c r="A3579" t="s">
        <v>3599</v>
      </c>
      <c r="B3579" t="str">
        <f t="shared" ref="B3579:Q3580" si="638">"Off"</f>
        <v>Off</v>
      </c>
      <c r="C3579" t="str">
        <f t="shared" si="638"/>
        <v>Off</v>
      </c>
      <c r="D3579" t="str">
        <f t="shared" si="638"/>
        <v>Off</v>
      </c>
      <c r="E3579" t="str">
        <f t="shared" si="638"/>
        <v>Off</v>
      </c>
      <c r="F3579" t="str">
        <f t="shared" si="638"/>
        <v>Off</v>
      </c>
      <c r="G3579" t="str">
        <f t="shared" si="638"/>
        <v>Off</v>
      </c>
      <c r="H3579" t="str">
        <f t="shared" si="638"/>
        <v>Off</v>
      </c>
      <c r="I3579" t="str">
        <f t="shared" si="638"/>
        <v>Off</v>
      </c>
      <c r="J3579" t="str">
        <f t="shared" si="638"/>
        <v>Off</v>
      </c>
      <c r="K3579" t="str">
        <f t="shared" si="638"/>
        <v>Off</v>
      </c>
      <c r="L3579" t="str">
        <f t="shared" si="638"/>
        <v>Off</v>
      </c>
      <c r="M3579" t="str">
        <f t="shared" si="638"/>
        <v>Off</v>
      </c>
      <c r="N3579" t="str">
        <f t="shared" si="638"/>
        <v>Off</v>
      </c>
      <c r="O3579" t="str">
        <f t="shared" si="638"/>
        <v>Off</v>
      </c>
      <c r="P3579" t="str">
        <f t="shared" si="638"/>
        <v>Off</v>
      </c>
      <c r="Q3579" t="str">
        <f t="shared" si="638"/>
        <v>Off</v>
      </c>
    </row>
    <row r="3580" spans="1:17">
      <c r="A3580" t="s">
        <v>3616</v>
      </c>
      <c r="B3580" t="str">
        <f t="shared" si="638"/>
        <v>Off</v>
      </c>
      <c r="C3580" t="str">
        <f t="shared" si="638"/>
        <v>Off</v>
      </c>
      <c r="D3580" t="str">
        <f t="shared" si="638"/>
        <v>Off</v>
      </c>
      <c r="E3580" t="str">
        <f t="shared" si="638"/>
        <v>Off</v>
      </c>
      <c r="F3580" t="str">
        <f t="shared" si="638"/>
        <v>Off</v>
      </c>
      <c r="G3580" t="str">
        <f t="shared" si="638"/>
        <v>Off</v>
      </c>
      <c r="H3580" t="str">
        <f t="shared" si="638"/>
        <v>Off</v>
      </c>
      <c r="I3580" t="str">
        <f t="shared" si="638"/>
        <v>Off</v>
      </c>
      <c r="J3580" t="str">
        <f t="shared" si="638"/>
        <v>Off</v>
      </c>
      <c r="K3580" t="str">
        <f t="shared" si="638"/>
        <v>Off</v>
      </c>
      <c r="L3580" t="str">
        <f t="shared" si="638"/>
        <v>Off</v>
      </c>
      <c r="M3580" t="str">
        <f t="shared" si="638"/>
        <v>Off</v>
      </c>
      <c r="N3580" t="str">
        <f t="shared" si="638"/>
        <v>Off</v>
      </c>
      <c r="O3580" t="str">
        <f t="shared" si="638"/>
        <v>Off</v>
      </c>
      <c r="P3580" t="str">
        <f t="shared" si="638"/>
        <v>Off</v>
      </c>
      <c r="Q3580" t="str">
        <f t="shared" si="638"/>
        <v>Off</v>
      </c>
    </row>
    <row r="3581" spans="1:17">
      <c r="A3581" t="s">
        <v>3617</v>
      </c>
      <c r="B3581">
        <v>0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</row>
    <row r="3582" spans="1:17">
      <c r="A3582" t="s">
        <v>3600</v>
      </c>
      <c r="B3582">
        <v>0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</row>
    <row r="3583" spans="1:17">
      <c r="A3583" t="s">
        <v>3601</v>
      </c>
      <c r="B3583" t="str">
        <f t="shared" ref="B3583:Q3585" si="639">"Off"</f>
        <v>Off</v>
      </c>
      <c r="C3583" t="str">
        <f t="shared" si="639"/>
        <v>Off</v>
      </c>
      <c r="D3583" t="str">
        <f t="shared" si="639"/>
        <v>Off</v>
      </c>
      <c r="E3583" t="str">
        <f t="shared" si="639"/>
        <v>Off</v>
      </c>
      <c r="F3583" t="str">
        <f t="shared" si="639"/>
        <v>Off</v>
      </c>
      <c r="G3583" t="str">
        <f t="shared" si="639"/>
        <v>Off</v>
      </c>
      <c r="H3583" t="str">
        <f t="shared" si="639"/>
        <v>Off</v>
      </c>
      <c r="I3583" t="str">
        <f t="shared" si="639"/>
        <v>Off</v>
      </c>
      <c r="J3583" t="str">
        <f t="shared" si="639"/>
        <v>Off</v>
      </c>
      <c r="K3583" t="str">
        <f t="shared" si="639"/>
        <v>Off</v>
      </c>
      <c r="L3583" t="str">
        <f t="shared" si="639"/>
        <v>Off</v>
      </c>
      <c r="M3583" t="str">
        <f t="shared" si="639"/>
        <v>Off</v>
      </c>
      <c r="N3583" t="str">
        <f t="shared" si="639"/>
        <v>Off</v>
      </c>
      <c r="O3583" t="str">
        <f t="shared" si="639"/>
        <v>Off</v>
      </c>
      <c r="P3583" t="str">
        <f t="shared" si="639"/>
        <v>Off</v>
      </c>
      <c r="Q3583" t="str">
        <f t="shared" si="639"/>
        <v>Off</v>
      </c>
    </row>
    <row r="3584" spans="1:17">
      <c r="A3584" t="s">
        <v>3602</v>
      </c>
      <c r="B3584" t="str">
        <f t="shared" si="639"/>
        <v>Off</v>
      </c>
      <c r="C3584" t="str">
        <f t="shared" si="639"/>
        <v>Off</v>
      </c>
      <c r="D3584" t="str">
        <f t="shared" si="639"/>
        <v>Off</v>
      </c>
      <c r="E3584" t="str">
        <f t="shared" si="639"/>
        <v>Off</v>
      </c>
      <c r="F3584" t="str">
        <f t="shared" si="639"/>
        <v>Off</v>
      </c>
      <c r="G3584" t="str">
        <f t="shared" si="639"/>
        <v>Off</v>
      </c>
      <c r="H3584" t="str">
        <f t="shared" si="639"/>
        <v>Off</v>
      </c>
      <c r="I3584" t="str">
        <f t="shared" si="639"/>
        <v>Off</v>
      </c>
      <c r="J3584" t="str">
        <f t="shared" si="639"/>
        <v>Off</v>
      </c>
      <c r="K3584" t="str">
        <f t="shared" si="639"/>
        <v>Off</v>
      </c>
      <c r="L3584" t="str">
        <f t="shared" si="639"/>
        <v>Off</v>
      </c>
      <c r="M3584" t="str">
        <f t="shared" si="639"/>
        <v>Off</v>
      </c>
      <c r="N3584" t="str">
        <f t="shared" si="639"/>
        <v>Off</v>
      </c>
      <c r="O3584" t="str">
        <f t="shared" si="639"/>
        <v>Off</v>
      </c>
      <c r="P3584" t="str">
        <f t="shared" si="639"/>
        <v>Off</v>
      </c>
      <c r="Q3584" t="str">
        <f t="shared" si="639"/>
        <v>Off</v>
      </c>
    </row>
    <row r="3585" spans="1:17">
      <c r="A3585" t="s">
        <v>3618</v>
      </c>
      <c r="B3585" t="str">
        <f t="shared" si="639"/>
        <v>Off</v>
      </c>
      <c r="C3585" t="str">
        <f t="shared" si="639"/>
        <v>Off</v>
      </c>
      <c r="D3585" t="str">
        <f t="shared" si="639"/>
        <v>Off</v>
      </c>
      <c r="E3585" t="str">
        <f t="shared" si="639"/>
        <v>Off</v>
      </c>
      <c r="F3585" t="str">
        <f t="shared" si="639"/>
        <v>Off</v>
      </c>
      <c r="G3585" t="str">
        <f t="shared" si="639"/>
        <v>Off</v>
      </c>
      <c r="H3585" t="str">
        <f t="shared" si="639"/>
        <v>Off</v>
      </c>
      <c r="I3585" t="str">
        <f t="shared" si="639"/>
        <v>Off</v>
      </c>
      <c r="J3585" t="str">
        <f t="shared" si="639"/>
        <v>Off</v>
      </c>
      <c r="K3585" t="str">
        <f t="shared" si="639"/>
        <v>Off</v>
      </c>
      <c r="L3585" t="str">
        <f t="shared" si="639"/>
        <v>Off</v>
      </c>
      <c r="M3585" t="str">
        <f t="shared" si="639"/>
        <v>Off</v>
      </c>
      <c r="N3585" t="str">
        <f t="shared" si="639"/>
        <v>Off</v>
      </c>
      <c r="O3585" t="str">
        <f t="shared" si="639"/>
        <v>Off</v>
      </c>
      <c r="P3585" t="str">
        <f t="shared" si="639"/>
        <v>Off</v>
      </c>
      <c r="Q3585" t="str">
        <f t="shared" si="639"/>
        <v>Off</v>
      </c>
    </row>
    <row r="3587" spans="1:17">
      <c r="B3587" t="s">
        <v>3619</v>
      </c>
      <c r="C3587">
        <v>25</v>
      </c>
      <c r="D3587">
        <v>16</v>
      </c>
      <c r="E3587">
        <v>1</v>
      </c>
    </row>
    <row r="3588" spans="1:17">
      <c r="B3588" t="s">
        <v>1511</v>
      </c>
      <c r="C3588" t="s">
        <v>1512</v>
      </c>
      <c r="D3588" t="s">
        <v>1513</v>
      </c>
      <c r="E3588" t="s">
        <v>1514</v>
      </c>
      <c r="F3588" t="s">
        <v>1515</v>
      </c>
      <c r="G3588" t="s">
        <v>1516</v>
      </c>
      <c r="H3588" t="s">
        <v>1517</v>
      </c>
      <c r="I3588" t="s">
        <v>1518</v>
      </c>
      <c r="J3588" t="s">
        <v>3604</v>
      </c>
      <c r="K3588" t="s">
        <v>3605</v>
      </c>
      <c r="L3588" t="s">
        <v>3606</v>
      </c>
      <c r="M3588" t="s">
        <v>3607</v>
      </c>
      <c r="N3588" t="s">
        <v>3608</v>
      </c>
      <c r="O3588" t="s">
        <v>3609</v>
      </c>
      <c r="P3588" t="s">
        <v>3610</v>
      </c>
      <c r="Q3588" t="s">
        <v>3611</v>
      </c>
    </row>
    <row r="3589" spans="1:17">
      <c r="A3589" t="s">
        <v>2483</v>
      </c>
      <c r="B3589" t="str">
        <f t="shared" ref="B3589:Q3590" si="640">"Off"</f>
        <v>Off</v>
      </c>
      <c r="C3589" t="str">
        <f t="shared" si="640"/>
        <v>Off</v>
      </c>
      <c r="D3589" t="str">
        <f t="shared" si="640"/>
        <v>Off</v>
      </c>
      <c r="E3589" t="str">
        <f t="shared" si="640"/>
        <v>Off</v>
      </c>
      <c r="F3589" t="str">
        <f t="shared" si="640"/>
        <v>Off</v>
      </c>
      <c r="G3589" t="str">
        <f t="shared" si="640"/>
        <v>Off</v>
      </c>
      <c r="H3589" t="str">
        <f t="shared" si="640"/>
        <v>Off</v>
      </c>
      <c r="I3589" t="str">
        <f t="shared" si="640"/>
        <v>Off</v>
      </c>
      <c r="J3589" t="str">
        <f t="shared" si="640"/>
        <v>Off</v>
      </c>
      <c r="K3589" t="str">
        <f t="shared" si="640"/>
        <v>Off</v>
      </c>
      <c r="L3589" t="str">
        <f t="shared" si="640"/>
        <v>Off</v>
      </c>
      <c r="M3589" t="str">
        <f t="shared" si="640"/>
        <v>Off</v>
      </c>
      <c r="N3589" t="str">
        <f t="shared" si="640"/>
        <v>Off</v>
      </c>
      <c r="O3589" t="str">
        <f t="shared" si="640"/>
        <v>Off</v>
      </c>
      <c r="P3589" t="str">
        <f t="shared" si="640"/>
        <v>Off</v>
      </c>
      <c r="Q3589" t="str">
        <f t="shared" si="640"/>
        <v>Off</v>
      </c>
    </row>
    <row r="3590" spans="1:17">
      <c r="A3590" t="s">
        <v>108</v>
      </c>
      <c r="B3590" t="str">
        <f t="shared" si="640"/>
        <v>Off</v>
      </c>
      <c r="C3590" t="str">
        <f t="shared" si="640"/>
        <v>Off</v>
      </c>
      <c r="D3590" t="str">
        <f t="shared" si="640"/>
        <v>Off</v>
      </c>
      <c r="E3590" t="str">
        <f t="shared" si="640"/>
        <v>Off</v>
      </c>
      <c r="F3590" t="str">
        <f t="shared" si="640"/>
        <v>Off</v>
      </c>
      <c r="G3590" t="str">
        <f t="shared" si="640"/>
        <v>Off</v>
      </c>
      <c r="H3590" t="str">
        <f t="shared" si="640"/>
        <v>Off</v>
      </c>
      <c r="I3590" t="str">
        <f t="shared" si="640"/>
        <v>Off</v>
      </c>
      <c r="J3590" t="str">
        <f t="shared" si="640"/>
        <v>Off</v>
      </c>
      <c r="K3590" t="str">
        <f t="shared" si="640"/>
        <v>Off</v>
      </c>
      <c r="L3590" t="str">
        <f t="shared" si="640"/>
        <v>Off</v>
      </c>
      <c r="M3590" t="str">
        <f t="shared" si="640"/>
        <v>Off</v>
      </c>
      <c r="N3590" t="str">
        <f t="shared" si="640"/>
        <v>Off</v>
      </c>
      <c r="O3590" t="str">
        <f t="shared" si="640"/>
        <v>Off</v>
      </c>
      <c r="P3590" t="str">
        <f t="shared" si="640"/>
        <v>Off</v>
      </c>
      <c r="Q3590" t="str">
        <f t="shared" si="640"/>
        <v>Off</v>
      </c>
    </row>
    <row r="3591" spans="1:17">
      <c r="A3591" t="s">
        <v>2434</v>
      </c>
      <c r="B3591">
        <v>0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</row>
    <row r="3592" spans="1:17">
      <c r="A3592" t="s">
        <v>3612</v>
      </c>
      <c r="B3592">
        <v>0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</row>
    <row r="3593" spans="1:17">
      <c r="A3593" t="s">
        <v>3613</v>
      </c>
      <c r="B3593">
        <v>0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</row>
    <row r="3594" spans="1:17">
      <c r="A3594" t="s">
        <v>2783</v>
      </c>
      <c r="B3594">
        <v>0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</row>
    <row r="3595" spans="1:17">
      <c r="A3595" t="s">
        <v>2439</v>
      </c>
      <c r="B3595">
        <v>0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</row>
    <row r="3596" spans="1:17">
      <c r="A3596" t="s">
        <v>2435</v>
      </c>
      <c r="B3596">
        <v>0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</row>
    <row r="3597" spans="1:17">
      <c r="A3597" t="s">
        <v>3614</v>
      </c>
      <c r="B3597" t="str">
        <f t="shared" ref="B3597:Q3597" si="641">"NORM "</f>
        <v xml:space="preserve">NORM </v>
      </c>
      <c r="C3597" t="str">
        <f t="shared" si="641"/>
        <v xml:space="preserve">NORM </v>
      </c>
      <c r="D3597" t="str">
        <f t="shared" si="641"/>
        <v xml:space="preserve">NORM </v>
      </c>
      <c r="E3597" t="str">
        <f t="shared" si="641"/>
        <v xml:space="preserve">NORM </v>
      </c>
      <c r="F3597" t="str">
        <f t="shared" si="641"/>
        <v xml:space="preserve">NORM </v>
      </c>
      <c r="G3597" t="str">
        <f t="shared" si="641"/>
        <v xml:space="preserve">NORM </v>
      </c>
      <c r="H3597" t="str">
        <f t="shared" si="641"/>
        <v xml:space="preserve">NORM </v>
      </c>
      <c r="I3597" t="str">
        <f t="shared" si="641"/>
        <v xml:space="preserve">NORM </v>
      </c>
      <c r="J3597" t="str">
        <f t="shared" si="641"/>
        <v xml:space="preserve">NORM </v>
      </c>
      <c r="K3597" t="str">
        <f t="shared" si="641"/>
        <v xml:space="preserve">NORM </v>
      </c>
      <c r="L3597" t="str">
        <f t="shared" si="641"/>
        <v xml:space="preserve">NORM </v>
      </c>
      <c r="M3597" t="str">
        <f t="shared" si="641"/>
        <v xml:space="preserve">NORM </v>
      </c>
      <c r="N3597" t="str">
        <f t="shared" si="641"/>
        <v xml:space="preserve">NORM </v>
      </c>
      <c r="O3597" t="str">
        <f t="shared" si="641"/>
        <v xml:space="preserve">NORM </v>
      </c>
      <c r="P3597" t="str">
        <f t="shared" si="641"/>
        <v xml:space="preserve">NORM </v>
      </c>
      <c r="Q3597" t="str">
        <f t="shared" si="641"/>
        <v xml:space="preserve">NORM </v>
      </c>
    </row>
    <row r="3598" spans="1:17">
      <c r="A3598" t="s">
        <v>3594</v>
      </c>
      <c r="B3598" t="str">
        <f t="shared" ref="B3598:Q3598" si="642">"Off"</f>
        <v>Off</v>
      </c>
      <c r="C3598" t="str">
        <f t="shared" si="642"/>
        <v>Off</v>
      </c>
      <c r="D3598" t="str">
        <f t="shared" si="642"/>
        <v>Off</v>
      </c>
      <c r="E3598" t="str">
        <f t="shared" si="642"/>
        <v>Off</v>
      </c>
      <c r="F3598" t="str">
        <f t="shared" si="642"/>
        <v>Off</v>
      </c>
      <c r="G3598" t="str">
        <f t="shared" si="642"/>
        <v>Off</v>
      </c>
      <c r="H3598" t="str">
        <f t="shared" si="642"/>
        <v>Off</v>
      </c>
      <c r="I3598" t="str">
        <f t="shared" si="642"/>
        <v>Off</v>
      </c>
      <c r="J3598" t="str">
        <f t="shared" si="642"/>
        <v>Off</v>
      </c>
      <c r="K3598" t="str">
        <f t="shared" si="642"/>
        <v>Off</v>
      </c>
      <c r="L3598" t="str">
        <f t="shared" si="642"/>
        <v>Off</v>
      </c>
      <c r="M3598" t="str">
        <f t="shared" si="642"/>
        <v>Off</v>
      </c>
      <c r="N3598" t="str">
        <f t="shared" si="642"/>
        <v>Off</v>
      </c>
      <c r="O3598" t="str">
        <f t="shared" si="642"/>
        <v>Off</v>
      </c>
      <c r="P3598" t="str">
        <f t="shared" si="642"/>
        <v>Off</v>
      </c>
      <c r="Q3598" t="str">
        <f t="shared" si="642"/>
        <v>Off</v>
      </c>
    </row>
    <row r="3599" spans="1:17">
      <c r="A3599" t="s">
        <v>3595</v>
      </c>
      <c r="B3599">
        <v>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</row>
    <row r="3600" spans="1:17">
      <c r="A3600" t="s">
        <v>3596</v>
      </c>
      <c r="B3600">
        <v>0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</row>
    <row r="3601" spans="1:17">
      <c r="A3601" t="s">
        <v>3615</v>
      </c>
      <c r="B3601" t="str">
        <f t="shared" ref="B3601:Q3601" si="643">"Off"</f>
        <v>Off</v>
      </c>
      <c r="C3601" t="str">
        <f t="shared" si="643"/>
        <v>Off</v>
      </c>
      <c r="D3601" t="str">
        <f t="shared" si="643"/>
        <v>Off</v>
      </c>
      <c r="E3601" t="str">
        <f t="shared" si="643"/>
        <v>Off</v>
      </c>
      <c r="F3601" t="str">
        <f t="shared" si="643"/>
        <v>Off</v>
      </c>
      <c r="G3601" t="str">
        <f t="shared" si="643"/>
        <v>Off</v>
      </c>
      <c r="H3601" t="str">
        <f t="shared" si="643"/>
        <v>Off</v>
      </c>
      <c r="I3601" t="str">
        <f t="shared" si="643"/>
        <v>Off</v>
      </c>
      <c r="J3601" t="str">
        <f t="shared" si="643"/>
        <v>Off</v>
      </c>
      <c r="K3601" t="str">
        <f t="shared" si="643"/>
        <v>Off</v>
      </c>
      <c r="L3601" t="str">
        <f t="shared" si="643"/>
        <v>Off</v>
      </c>
      <c r="M3601" t="str">
        <f t="shared" si="643"/>
        <v>Off</v>
      </c>
      <c r="N3601" t="str">
        <f t="shared" si="643"/>
        <v>Off</v>
      </c>
      <c r="O3601" t="str">
        <f t="shared" si="643"/>
        <v>Off</v>
      </c>
      <c r="P3601" t="str">
        <f t="shared" si="643"/>
        <v>Off</v>
      </c>
      <c r="Q3601" t="str">
        <f t="shared" si="643"/>
        <v>Off</v>
      </c>
    </row>
    <row r="3602" spans="1:17">
      <c r="A3602" t="s">
        <v>2436</v>
      </c>
      <c r="B3602">
        <v>0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</row>
    <row r="3603" spans="1:17">
      <c r="A3603" t="s">
        <v>2437</v>
      </c>
      <c r="B3603">
        <v>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</row>
    <row r="3604" spans="1:17">
      <c r="A3604" t="s">
        <v>109</v>
      </c>
      <c r="B3604" t="str">
        <f t="shared" ref="B3604:Q3605" si="644">"Off"</f>
        <v>Off</v>
      </c>
      <c r="C3604" t="str">
        <f t="shared" si="644"/>
        <v>Off</v>
      </c>
      <c r="D3604" t="str">
        <f t="shared" si="644"/>
        <v>Off</v>
      </c>
      <c r="E3604" t="str">
        <f t="shared" si="644"/>
        <v>Off</v>
      </c>
      <c r="F3604" t="str">
        <f t="shared" si="644"/>
        <v>Off</v>
      </c>
      <c r="G3604" t="str">
        <f t="shared" si="644"/>
        <v>Off</v>
      </c>
      <c r="H3604" t="str">
        <f t="shared" si="644"/>
        <v>Off</v>
      </c>
      <c r="I3604" t="str">
        <f t="shared" si="644"/>
        <v>Off</v>
      </c>
      <c r="J3604" t="str">
        <f t="shared" si="644"/>
        <v>Off</v>
      </c>
      <c r="K3604" t="str">
        <f t="shared" si="644"/>
        <v>Off</v>
      </c>
      <c r="L3604" t="str">
        <f t="shared" si="644"/>
        <v>Off</v>
      </c>
      <c r="M3604" t="str">
        <f t="shared" si="644"/>
        <v>Off</v>
      </c>
      <c r="N3604" t="str">
        <f t="shared" si="644"/>
        <v>Off</v>
      </c>
      <c r="O3604" t="str">
        <f t="shared" si="644"/>
        <v>Off</v>
      </c>
      <c r="P3604" t="str">
        <f t="shared" si="644"/>
        <v>Off</v>
      </c>
      <c r="Q3604" t="str">
        <f t="shared" si="644"/>
        <v>Off</v>
      </c>
    </row>
    <row r="3605" spans="1:17">
      <c r="A3605" t="s">
        <v>3597</v>
      </c>
      <c r="B3605" t="str">
        <f t="shared" si="644"/>
        <v>Off</v>
      </c>
      <c r="C3605" t="str">
        <f t="shared" si="644"/>
        <v>Off</v>
      </c>
      <c r="D3605" t="str">
        <f t="shared" si="644"/>
        <v>Off</v>
      </c>
      <c r="E3605" t="str">
        <f t="shared" si="644"/>
        <v>Off</v>
      </c>
      <c r="F3605" t="str">
        <f t="shared" si="644"/>
        <v>Off</v>
      </c>
      <c r="G3605" t="str">
        <f t="shared" si="644"/>
        <v>Off</v>
      </c>
      <c r="H3605" t="str">
        <f t="shared" si="644"/>
        <v>Off</v>
      </c>
      <c r="I3605" t="str">
        <f t="shared" si="644"/>
        <v>Off</v>
      </c>
      <c r="J3605" t="str">
        <f t="shared" si="644"/>
        <v>Off</v>
      </c>
      <c r="K3605" t="str">
        <f t="shared" si="644"/>
        <v>Off</v>
      </c>
      <c r="L3605" t="str">
        <f t="shared" si="644"/>
        <v>Off</v>
      </c>
      <c r="M3605" t="str">
        <f t="shared" si="644"/>
        <v>Off</v>
      </c>
      <c r="N3605" t="str">
        <f t="shared" si="644"/>
        <v>Off</v>
      </c>
      <c r="O3605" t="str">
        <f t="shared" si="644"/>
        <v>Off</v>
      </c>
      <c r="P3605" t="str">
        <f t="shared" si="644"/>
        <v>Off</v>
      </c>
      <c r="Q3605" t="str">
        <f t="shared" si="644"/>
        <v>Off</v>
      </c>
    </row>
    <row r="3606" spans="1:17">
      <c r="A3606" t="s">
        <v>3598</v>
      </c>
      <c r="B3606">
        <v>0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</row>
    <row r="3607" spans="1:17">
      <c r="A3607" t="s">
        <v>3599</v>
      </c>
      <c r="B3607" t="str">
        <f t="shared" ref="B3607:Q3608" si="645">"Off"</f>
        <v>Off</v>
      </c>
      <c r="C3607" t="str">
        <f t="shared" si="645"/>
        <v>Off</v>
      </c>
      <c r="D3607" t="str">
        <f t="shared" si="645"/>
        <v>Off</v>
      </c>
      <c r="E3607" t="str">
        <f t="shared" si="645"/>
        <v>Off</v>
      </c>
      <c r="F3607" t="str">
        <f t="shared" si="645"/>
        <v>Off</v>
      </c>
      <c r="G3607" t="str">
        <f t="shared" si="645"/>
        <v>Off</v>
      </c>
      <c r="H3607" t="str">
        <f t="shared" si="645"/>
        <v>Off</v>
      </c>
      <c r="I3607" t="str">
        <f t="shared" si="645"/>
        <v>Off</v>
      </c>
      <c r="J3607" t="str">
        <f t="shared" si="645"/>
        <v>Off</v>
      </c>
      <c r="K3607" t="str">
        <f t="shared" si="645"/>
        <v>Off</v>
      </c>
      <c r="L3607" t="str">
        <f t="shared" si="645"/>
        <v>Off</v>
      </c>
      <c r="M3607" t="str">
        <f t="shared" si="645"/>
        <v>Off</v>
      </c>
      <c r="N3607" t="str">
        <f t="shared" si="645"/>
        <v>Off</v>
      </c>
      <c r="O3607" t="str">
        <f t="shared" si="645"/>
        <v>Off</v>
      </c>
      <c r="P3607" t="str">
        <f t="shared" si="645"/>
        <v>Off</v>
      </c>
      <c r="Q3607" t="str">
        <f t="shared" si="645"/>
        <v>Off</v>
      </c>
    </row>
    <row r="3608" spans="1:17">
      <c r="A3608" t="s">
        <v>3616</v>
      </c>
      <c r="B3608" t="str">
        <f t="shared" si="645"/>
        <v>Off</v>
      </c>
      <c r="C3608" t="str">
        <f t="shared" si="645"/>
        <v>Off</v>
      </c>
      <c r="D3608" t="str">
        <f t="shared" si="645"/>
        <v>Off</v>
      </c>
      <c r="E3608" t="str">
        <f t="shared" si="645"/>
        <v>Off</v>
      </c>
      <c r="F3608" t="str">
        <f t="shared" si="645"/>
        <v>Off</v>
      </c>
      <c r="G3608" t="str">
        <f t="shared" si="645"/>
        <v>Off</v>
      </c>
      <c r="H3608" t="str">
        <f t="shared" si="645"/>
        <v>Off</v>
      </c>
      <c r="I3608" t="str">
        <f t="shared" si="645"/>
        <v>Off</v>
      </c>
      <c r="J3608" t="str">
        <f t="shared" si="645"/>
        <v>Off</v>
      </c>
      <c r="K3608" t="str">
        <f t="shared" si="645"/>
        <v>Off</v>
      </c>
      <c r="L3608" t="str">
        <f t="shared" si="645"/>
        <v>Off</v>
      </c>
      <c r="M3608" t="str">
        <f t="shared" si="645"/>
        <v>Off</v>
      </c>
      <c r="N3608" t="str">
        <f t="shared" si="645"/>
        <v>Off</v>
      </c>
      <c r="O3608" t="str">
        <f t="shared" si="645"/>
        <v>Off</v>
      </c>
      <c r="P3608" t="str">
        <f t="shared" si="645"/>
        <v>Off</v>
      </c>
      <c r="Q3608" t="str">
        <f t="shared" si="645"/>
        <v>Off</v>
      </c>
    </row>
    <row r="3609" spans="1:17">
      <c r="A3609" t="s">
        <v>3617</v>
      </c>
      <c r="B3609">
        <v>0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</row>
    <row r="3610" spans="1:17">
      <c r="A3610" t="s">
        <v>3600</v>
      </c>
      <c r="B3610">
        <v>0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</row>
    <row r="3611" spans="1:17">
      <c r="A3611" t="s">
        <v>3601</v>
      </c>
      <c r="B3611" t="str">
        <f t="shared" ref="B3611:Q3613" si="646">"Off"</f>
        <v>Off</v>
      </c>
      <c r="C3611" t="str">
        <f t="shared" si="646"/>
        <v>Off</v>
      </c>
      <c r="D3611" t="str">
        <f t="shared" si="646"/>
        <v>Off</v>
      </c>
      <c r="E3611" t="str">
        <f t="shared" si="646"/>
        <v>Off</v>
      </c>
      <c r="F3611" t="str">
        <f t="shared" si="646"/>
        <v>Off</v>
      </c>
      <c r="G3611" t="str">
        <f t="shared" si="646"/>
        <v>Off</v>
      </c>
      <c r="H3611" t="str">
        <f t="shared" si="646"/>
        <v>Off</v>
      </c>
      <c r="I3611" t="str">
        <f t="shared" si="646"/>
        <v>Off</v>
      </c>
      <c r="J3611" t="str">
        <f t="shared" si="646"/>
        <v>Off</v>
      </c>
      <c r="K3611" t="str">
        <f t="shared" si="646"/>
        <v>Off</v>
      </c>
      <c r="L3611" t="str">
        <f t="shared" si="646"/>
        <v>Off</v>
      </c>
      <c r="M3611" t="str">
        <f t="shared" si="646"/>
        <v>Off</v>
      </c>
      <c r="N3611" t="str">
        <f t="shared" si="646"/>
        <v>Off</v>
      </c>
      <c r="O3611" t="str">
        <f t="shared" si="646"/>
        <v>Off</v>
      </c>
      <c r="P3611" t="str">
        <f t="shared" si="646"/>
        <v>Off</v>
      </c>
      <c r="Q3611" t="str">
        <f t="shared" si="646"/>
        <v>Off</v>
      </c>
    </row>
    <row r="3612" spans="1:17">
      <c r="A3612" t="s">
        <v>3602</v>
      </c>
      <c r="B3612" t="str">
        <f t="shared" si="646"/>
        <v>Off</v>
      </c>
      <c r="C3612" t="str">
        <f t="shared" si="646"/>
        <v>Off</v>
      </c>
      <c r="D3612" t="str">
        <f t="shared" si="646"/>
        <v>Off</v>
      </c>
      <c r="E3612" t="str">
        <f t="shared" si="646"/>
        <v>Off</v>
      </c>
      <c r="F3612" t="str">
        <f t="shared" si="646"/>
        <v>Off</v>
      </c>
      <c r="G3612" t="str">
        <f t="shared" si="646"/>
        <v>Off</v>
      </c>
      <c r="H3612" t="str">
        <f t="shared" si="646"/>
        <v>Off</v>
      </c>
      <c r="I3612" t="str">
        <f t="shared" si="646"/>
        <v>Off</v>
      </c>
      <c r="J3612" t="str">
        <f t="shared" si="646"/>
        <v>Off</v>
      </c>
      <c r="K3612" t="str">
        <f t="shared" si="646"/>
        <v>Off</v>
      </c>
      <c r="L3612" t="str">
        <f t="shared" si="646"/>
        <v>Off</v>
      </c>
      <c r="M3612" t="str">
        <f t="shared" si="646"/>
        <v>Off</v>
      </c>
      <c r="N3612" t="str">
        <f t="shared" si="646"/>
        <v>Off</v>
      </c>
      <c r="O3612" t="str">
        <f t="shared" si="646"/>
        <v>Off</v>
      </c>
      <c r="P3612" t="str">
        <f t="shared" si="646"/>
        <v>Off</v>
      </c>
      <c r="Q3612" t="str">
        <f t="shared" si="646"/>
        <v>Off</v>
      </c>
    </row>
    <row r="3613" spans="1:17">
      <c r="A3613" t="s">
        <v>3618</v>
      </c>
      <c r="B3613" t="str">
        <f t="shared" si="646"/>
        <v>Off</v>
      </c>
      <c r="C3613" t="str">
        <f t="shared" si="646"/>
        <v>Off</v>
      </c>
      <c r="D3613" t="str">
        <f t="shared" si="646"/>
        <v>Off</v>
      </c>
      <c r="E3613" t="str">
        <f t="shared" si="646"/>
        <v>Off</v>
      </c>
      <c r="F3613" t="str">
        <f t="shared" si="646"/>
        <v>Off</v>
      </c>
      <c r="G3613" t="str">
        <f t="shared" si="646"/>
        <v>Off</v>
      </c>
      <c r="H3613" t="str">
        <f t="shared" si="646"/>
        <v>Off</v>
      </c>
      <c r="I3613" t="str">
        <f t="shared" si="646"/>
        <v>Off</v>
      </c>
      <c r="J3613" t="str">
        <f t="shared" si="646"/>
        <v>Off</v>
      </c>
      <c r="K3613" t="str">
        <f t="shared" si="646"/>
        <v>Off</v>
      </c>
      <c r="L3613" t="str">
        <f t="shared" si="646"/>
        <v>Off</v>
      </c>
      <c r="M3613" t="str">
        <f t="shared" si="646"/>
        <v>Off</v>
      </c>
      <c r="N3613" t="str">
        <f t="shared" si="646"/>
        <v>Off</v>
      </c>
      <c r="O3613" t="str">
        <f t="shared" si="646"/>
        <v>Off</v>
      </c>
      <c r="P3613" t="str">
        <f t="shared" si="646"/>
        <v>Off</v>
      </c>
      <c r="Q3613" t="str">
        <f t="shared" si="646"/>
        <v>Off</v>
      </c>
    </row>
    <row r="3615" spans="1:17">
      <c r="B3615" t="s">
        <v>3620</v>
      </c>
      <c r="C3615">
        <v>25</v>
      </c>
      <c r="D3615">
        <v>16</v>
      </c>
      <c r="E3615">
        <v>1</v>
      </c>
    </row>
    <row r="3616" spans="1:17">
      <c r="B3616" t="s">
        <v>1511</v>
      </c>
      <c r="C3616" t="s">
        <v>1512</v>
      </c>
      <c r="D3616" t="s">
        <v>1513</v>
      </c>
      <c r="E3616" t="s">
        <v>1514</v>
      </c>
      <c r="F3616" t="s">
        <v>1515</v>
      </c>
      <c r="G3616" t="s">
        <v>1516</v>
      </c>
      <c r="H3616" t="s">
        <v>1517</v>
      </c>
      <c r="I3616" t="s">
        <v>1518</v>
      </c>
      <c r="J3616" t="s">
        <v>3604</v>
      </c>
      <c r="K3616" t="s">
        <v>3605</v>
      </c>
      <c r="L3616" t="s">
        <v>3606</v>
      </c>
      <c r="M3616" t="s">
        <v>3607</v>
      </c>
      <c r="N3616" t="s">
        <v>3608</v>
      </c>
      <c r="O3616" t="s">
        <v>3609</v>
      </c>
      <c r="P3616" t="s">
        <v>3610</v>
      </c>
      <c r="Q3616" t="s">
        <v>3611</v>
      </c>
    </row>
    <row r="3617" spans="1:17">
      <c r="A3617" t="s">
        <v>2483</v>
      </c>
      <c r="B3617" t="str">
        <f t="shared" ref="B3617:Q3618" si="647">"Off"</f>
        <v>Off</v>
      </c>
      <c r="C3617" t="str">
        <f t="shared" si="647"/>
        <v>Off</v>
      </c>
      <c r="D3617" t="str">
        <f t="shared" si="647"/>
        <v>Off</v>
      </c>
      <c r="E3617" t="str">
        <f t="shared" si="647"/>
        <v>Off</v>
      </c>
      <c r="F3617" t="str">
        <f t="shared" si="647"/>
        <v>Off</v>
      </c>
      <c r="G3617" t="str">
        <f t="shared" si="647"/>
        <v>Off</v>
      </c>
      <c r="H3617" t="str">
        <f t="shared" si="647"/>
        <v>Off</v>
      </c>
      <c r="I3617" t="str">
        <f t="shared" si="647"/>
        <v>Off</v>
      </c>
      <c r="J3617" t="str">
        <f t="shared" si="647"/>
        <v>Off</v>
      </c>
      <c r="K3617" t="str">
        <f t="shared" si="647"/>
        <v>Off</v>
      </c>
      <c r="L3617" t="str">
        <f t="shared" si="647"/>
        <v>Off</v>
      </c>
      <c r="M3617" t="str">
        <f t="shared" si="647"/>
        <v>Off</v>
      </c>
      <c r="N3617" t="str">
        <f t="shared" si="647"/>
        <v>Off</v>
      </c>
      <c r="O3617" t="str">
        <f t="shared" si="647"/>
        <v>Off</v>
      </c>
      <c r="P3617" t="str">
        <f t="shared" si="647"/>
        <v>Off</v>
      </c>
      <c r="Q3617" t="str">
        <f t="shared" si="647"/>
        <v>Off</v>
      </c>
    </row>
    <row r="3618" spans="1:17">
      <c r="A3618" t="s">
        <v>108</v>
      </c>
      <c r="B3618" t="str">
        <f t="shared" si="647"/>
        <v>Off</v>
      </c>
      <c r="C3618" t="str">
        <f t="shared" si="647"/>
        <v>Off</v>
      </c>
      <c r="D3618" t="str">
        <f t="shared" si="647"/>
        <v>Off</v>
      </c>
      <c r="E3618" t="str">
        <f t="shared" si="647"/>
        <v>Off</v>
      </c>
      <c r="F3618" t="str">
        <f t="shared" si="647"/>
        <v>Off</v>
      </c>
      <c r="G3618" t="str">
        <f t="shared" si="647"/>
        <v>Off</v>
      </c>
      <c r="H3618" t="str">
        <f t="shared" si="647"/>
        <v>Off</v>
      </c>
      <c r="I3618" t="str">
        <f t="shared" si="647"/>
        <v>Off</v>
      </c>
      <c r="J3618" t="str">
        <f t="shared" si="647"/>
        <v>Off</v>
      </c>
      <c r="K3618" t="str">
        <f t="shared" si="647"/>
        <v>Off</v>
      </c>
      <c r="L3618" t="str">
        <f t="shared" si="647"/>
        <v>Off</v>
      </c>
      <c r="M3618" t="str">
        <f t="shared" si="647"/>
        <v>Off</v>
      </c>
      <c r="N3618" t="str">
        <f t="shared" si="647"/>
        <v>Off</v>
      </c>
      <c r="O3618" t="str">
        <f t="shared" si="647"/>
        <v>Off</v>
      </c>
      <c r="P3618" t="str">
        <f t="shared" si="647"/>
        <v>Off</v>
      </c>
      <c r="Q3618" t="str">
        <f t="shared" si="647"/>
        <v>Off</v>
      </c>
    </row>
    <row r="3619" spans="1:17">
      <c r="A3619" t="s">
        <v>2434</v>
      </c>
      <c r="B3619">
        <v>0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</row>
    <row r="3620" spans="1:17">
      <c r="A3620" t="s">
        <v>3612</v>
      </c>
      <c r="B3620">
        <v>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</row>
    <row r="3621" spans="1:17">
      <c r="A3621" t="s">
        <v>3613</v>
      </c>
      <c r="B3621">
        <v>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</row>
    <row r="3622" spans="1:17">
      <c r="A3622" t="s">
        <v>2783</v>
      </c>
      <c r="B3622">
        <v>0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</row>
    <row r="3623" spans="1:17">
      <c r="A3623" t="s">
        <v>2439</v>
      </c>
      <c r="B3623">
        <v>0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</row>
    <row r="3624" spans="1:17">
      <c r="A3624" t="s">
        <v>2435</v>
      </c>
      <c r="B3624">
        <v>0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</row>
    <row r="3625" spans="1:17">
      <c r="A3625" t="s">
        <v>3614</v>
      </c>
      <c r="B3625" t="str">
        <f t="shared" ref="B3625:Q3625" si="648">"NORM "</f>
        <v xml:space="preserve">NORM </v>
      </c>
      <c r="C3625" t="str">
        <f t="shared" si="648"/>
        <v xml:space="preserve">NORM </v>
      </c>
      <c r="D3625" t="str">
        <f t="shared" si="648"/>
        <v xml:space="preserve">NORM </v>
      </c>
      <c r="E3625" t="str">
        <f t="shared" si="648"/>
        <v xml:space="preserve">NORM </v>
      </c>
      <c r="F3625" t="str">
        <f t="shared" si="648"/>
        <v xml:space="preserve">NORM </v>
      </c>
      <c r="G3625" t="str">
        <f t="shared" si="648"/>
        <v xml:space="preserve">NORM </v>
      </c>
      <c r="H3625" t="str">
        <f t="shared" si="648"/>
        <v xml:space="preserve">NORM </v>
      </c>
      <c r="I3625" t="str">
        <f t="shared" si="648"/>
        <v xml:space="preserve">NORM </v>
      </c>
      <c r="J3625" t="str">
        <f t="shared" si="648"/>
        <v xml:space="preserve">NORM </v>
      </c>
      <c r="K3625" t="str">
        <f t="shared" si="648"/>
        <v xml:space="preserve">NORM </v>
      </c>
      <c r="L3625" t="str">
        <f t="shared" si="648"/>
        <v xml:space="preserve">NORM </v>
      </c>
      <c r="M3625" t="str">
        <f t="shared" si="648"/>
        <v xml:space="preserve">NORM </v>
      </c>
      <c r="N3625" t="str">
        <f t="shared" si="648"/>
        <v xml:space="preserve">NORM </v>
      </c>
      <c r="O3625" t="str">
        <f t="shared" si="648"/>
        <v xml:space="preserve">NORM </v>
      </c>
      <c r="P3625" t="str">
        <f t="shared" si="648"/>
        <v xml:space="preserve">NORM </v>
      </c>
      <c r="Q3625" t="str">
        <f t="shared" si="648"/>
        <v xml:space="preserve">NORM </v>
      </c>
    </row>
    <row r="3626" spans="1:17">
      <c r="A3626" t="s">
        <v>3594</v>
      </c>
      <c r="B3626" t="str">
        <f t="shared" ref="B3626:Q3626" si="649">"Off"</f>
        <v>Off</v>
      </c>
      <c r="C3626" t="str">
        <f t="shared" si="649"/>
        <v>Off</v>
      </c>
      <c r="D3626" t="str">
        <f t="shared" si="649"/>
        <v>Off</v>
      </c>
      <c r="E3626" t="str">
        <f t="shared" si="649"/>
        <v>Off</v>
      </c>
      <c r="F3626" t="str">
        <f t="shared" si="649"/>
        <v>Off</v>
      </c>
      <c r="G3626" t="str">
        <f t="shared" si="649"/>
        <v>Off</v>
      </c>
      <c r="H3626" t="str">
        <f t="shared" si="649"/>
        <v>Off</v>
      </c>
      <c r="I3626" t="str">
        <f t="shared" si="649"/>
        <v>Off</v>
      </c>
      <c r="J3626" t="str">
        <f t="shared" si="649"/>
        <v>Off</v>
      </c>
      <c r="K3626" t="str">
        <f t="shared" si="649"/>
        <v>Off</v>
      </c>
      <c r="L3626" t="str">
        <f t="shared" si="649"/>
        <v>Off</v>
      </c>
      <c r="M3626" t="str">
        <f t="shared" si="649"/>
        <v>Off</v>
      </c>
      <c r="N3626" t="str">
        <f t="shared" si="649"/>
        <v>Off</v>
      </c>
      <c r="O3626" t="str">
        <f t="shared" si="649"/>
        <v>Off</v>
      </c>
      <c r="P3626" t="str">
        <f t="shared" si="649"/>
        <v>Off</v>
      </c>
      <c r="Q3626" t="str">
        <f t="shared" si="649"/>
        <v>Off</v>
      </c>
    </row>
    <row r="3627" spans="1:17">
      <c r="A3627" t="s">
        <v>3595</v>
      </c>
      <c r="B3627">
        <v>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</row>
    <row r="3628" spans="1:17">
      <c r="A3628" t="s">
        <v>3596</v>
      </c>
      <c r="B3628">
        <v>0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</row>
    <row r="3629" spans="1:17">
      <c r="A3629" t="s">
        <v>3615</v>
      </c>
      <c r="B3629" t="str">
        <f t="shared" ref="B3629:Q3629" si="650">"Off"</f>
        <v>Off</v>
      </c>
      <c r="C3629" t="str">
        <f t="shared" si="650"/>
        <v>Off</v>
      </c>
      <c r="D3629" t="str">
        <f t="shared" si="650"/>
        <v>Off</v>
      </c>
      <c r="E3629" t="str">
        <f t="shared" si="650"/>
        <v>Off</v>
      </c>
      <c r="F3629" t="str">
        <f t="shared" si="650"/>
        <v>Off</v>
      </c>
      <c r="G3629" t="str">
        <f t="shared" si="650"/>
        <v>Off</v>
      </c>
      <c r="H3629" t="str">
        <f t="shared" si="650"/>
        <v>Off</v>
      </c>
      <c r="I3629" t="str">
        <f t="shared" si="650"/>
        <v>Off</v>
      </c>
      <c r="J3629" t="str">
        <f t="shared" si="650"/>
        <v>Off</v>
      </c>
      <c r="K3629" t="str">
        <f t="shared" si="650"/>
        <v>Off</v>
      </c>
      <c r="L3629" t="str">
        <f t="shared" si="650"/>
        <v>Off</v>
      </c>
      <c r="M3629" t="str">
        <f t="shared" si="650"/>
        <v>Off</v>
      </c>
      <c r="N3629" t="str">
        <f t="shared" si="650"/>
        <v>Off</v>
      </c>
      <c r="O3629" t="str">
        <f t="shared" si="650"/>
        <v>Off</v>
      </c>
      <c r="P3629" t="str">
        <f t="shared" si="650"/>
        <v>Off</v>
      </c>
      <c r="Q3629" t="str">
        <f t="shared" si="650"/>
        <v>Off</v>
      </c>
    </row>
    <row r="3630" spans="1:17">
      <c r="A3630" t="s">
        <v>2436</v>
      </c>
      <c r="B3630">
        <v>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</row>
    <row r="3631" spans="1:17">
      <c r="A3631" t="s">
        <v>2437</v>
      </c>
      <c r="B3631">
        <v>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</row>
    <row r="3632" spans="1:17">
      <c r="A3632" t="s">
        <v>109</v>
      </c>
      <c r="B3632" t="str">
        <f t="shared" ref="B3632:Q3633" si="651">"Off"</f>
        <v>Off</v>
      </c>
      <c r="C3632" t="str">
        <f t="shared" si="651"/>
        <v>Off</v>
      </c>
      <c r="D3632" t="str">
        <f t="shared" si="651"/>
        <v>Off</v>
      </c>
      <c r="E3632" t="str">
        <f t="shared" si="651"/>
        <v>Off</v>
      </c>
      <c r="F3632" t="str">
        <f t="shared" si="651"/>
        <v>Off</v>
      </c>
      <c r="G3632" t="str">
        <f t="shared" si="651"/>
        <v>Off</v>
      </c>
      <c r="H3632" t="str">
        <f t="shared" si="651"/>
        <v>Off</v>
      </c>
      <c r="I3632" t="str">
        <f t="shared" si="651"/>
        <v>Off</v>
      </c>
      <c r="J3632" t="str">
        <f t="shared" si="651"/>
        <v>Off</v>
      </c>
      <c r="K3632" t="str">
        <f t="shared" si="651"/>
        <v>Off</v>
      </c>
      <c r="L3632" t="str">
        <f t="shared" si="651"/>
        <v>Off</v>
      </c>
      <c r="M3632" t="str">
        <f t="shared" si="651"/>
        <v>Off</v>
      </c>
      <c r="N3632" t="str">
        <f t="shared" si="651"/>
        <v>Off</v>
      </c>
      <c r="O3632" t="str">
        <f t="shared" si="651"/>
        <v>Off</v>
      </c>
      <c r="P3632" t="str">
        <f t="shared" si="651"/>
        <v>Off</v>
      </c>
      <c r="Q3632" t="str">
        <f t="shared" si="651"/>
        <v>Off</v>
      </c>
    </row>
    <row r="3633" spans="1:129">
      <c r="A3633" t="s">
        <v>3597</v>
      </c>
      <c r="B3633" t="str">
        <f t="shared" si="651"/>
        <v>Off</v>
      </c>
      <c r="C3633" t="str">
        <f t="shared" si="651"/>
        <v>Off</v>
      </c>
      <c r="D3633" t="str">
        <f t="shared" si="651"/>
        <v>Off</v>
      </c>
      <c r="E3633" t="str">
        <f t="shared" si="651"/>
        <v>Off</v>
      </c>
      <c r="F3633" t="str">
        <f t="shared" si="651"/>
        <v>Off</v>
      </c>
      <c r="G3633" t="str">
        <f t="shared" si="651"/>
        <v>Off</v>
      </c>
      <c r="H3633" t="str">
        <f t="shared" si="651"/>
        <v>Off</v>
      </c>
      <c r="I3633" t="str">
        <f t="shared" si="651"/>
        <v>Off</v>
      </c>
      <c r="J3633" t="str">
        <f t="shared" si="651"/>
        <v>Off</v>
      </c>
      <c r="K3633" t="str">
        <f t="shared" si="651"/>
        <v>Off</v>
      </c>
      <c r="L3633" t="str">
        <f t="shared" si="651"/>
        <v>Off</v>
      </c>
      <c r="M3633" t="str">
        <f t="shared" si="651"/>
        <v>Off</v>
      </c>
      <c r="N3633" t="str">
        <f t="shared" si="651"/>
        <v>Off</v>
      </c>
      <c r="O3633" t="str">
        <f t="shared" si="651"/>
        <v>Off</v>
      </c>
      <c r="P3633" t="str">
        <f t="shared" si="651"/>
        <v>Off</v>
      </c>
      <c r="Q3633" t="str">
        <f t="shared" si="651"/>
        <v>Off</v>
      </c>
    </row>
    <row r="3634" spans="1:129">
      <c r="A3634" t="s">
        <v>3598</v>
      </c>
      <c r="B3634">
        <v>0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</row>
    <row r="3635" spans="1:129">
      <c r="A3635" t="s">
        <v>3599</v>
      </c>
      <c r="B3635" t="str">
        <f t="shared" ref="B3635:Q3636" si="652">"Off"</f>
        <v>Off</v>
      </c>
      <c r="C3635" t="str">
        <f t="shared" si="652"/>
        <v>Off</v>
      </c>
      <c r="D3635" t="str">
        <f t="shared" si="652"/>
        <v>Off</v>
      </c>
      <c r="E3635" t="str">
        <f t="shared" si="652"/>
        <v>Off</v>
      </c>
      <c r="F3635" t="str">
        <f t="shared" si="652"/>
        <v>Off</v>
      </c>
      <c r="G3635" t="str">
        <f t="shared" si="652"/>
        <v>Off</v>
      </c>
      <c r="H3635" t="str">
        <f t="shared" si="652"/>
        <v>Off</v>
      </c>
      <c r="I3635" t="str">
        <f t="shared" si="652"/>
        <v>Off</v>
      </c>
      <c r="J3635" t="str">
        <f t="shared" si="652"/>
        <v>Off</v>
      </c>
      <c r="K3635" t="str">
        <f t="shared" si="652"/>
        <v>Off</v>
      </c>
      <c r="L3635" t="str">
        <f t="shared" si="652"/>
        <v>Off</v>
      </c>
      <c r="M3635" t="str">
        <f t="shared" si="652"/>
        <v>Off</v>
      </c>
      <c r="N3635" t="str">
        <f t="shared" si="652"/>
        <v>Off</v>
      </c>
      <c r="O3635" t="str">
        <f t="shared" si="652"/>
        <v>Off</v>
      </c>
      <c r="P3635" t="str">
        <f t="shared" si="652"/>
        <v>Off</v>
      </c>
      <c r="Q3635" t="str">
        <f t="shared" si="652"/>
        <v>Off</v>
      </c>
    </row>
    <row r="3636" spans="1:129">
      <c r="A3636" t="s">
        <v>3616</v>
      </c>
      <c r="B3636" t="str">
        <f t="shared" si="652"/>
        <v>Off</v>
      </c>
      <c r="C3636" t="str">
        <f t="shared" si="652"/>
        <v>Off</v>
      </c>
      <c r="D3636" t="str">
        <f t="shared" si="652"/>
        <v>Off</v>
      </c>
      <c r="E3636" t="str">
        <f t="shared" si="652"/>
        <v>Off</v>
      </c>
      <c r="F3636" t="str">
        <f t="shared" si="652"/>
        <v>Off</v>
      </c>
      <c r="G3636" t="str">
        <f t="shared" si="652"/>
        <v>Off</v>
      </c>
      <c r="H3636" t="str">
        <f t="shared" si="652"/>
        <v>Off</v>
      </c>
      <c r="I3636" t="str">
        <f t="shared" si="652"/>
        <v>Off</v>
      </c>
      <c r="J3636" t="str">
        <f t="shared" si="652"/>
        <v>Off</v>
      </c>
      <c r="K3636" t="str">
        <f t="shared" si="652"/>
        <v>Off</v>
      </c>
      <c r="L3636" t="str">
        <f t="shared" si="652"/>
        <v>Off</v>
      </c>
      <c r="M3636" t="str">
        <f t="shared" si="652"/>
        <v>Off</v>
      </c>
      <c r="N3636" t="str">
        <f t="shared" si="652"/>
        <v>Off</v>
      </c>
      <c r="O3636" t="str">
        <f t="shared" si="652"/>
        <v>Off</v>
      </c>
      <c r="P3636" t="str">
        <f t="shared" si="652"/>
        <v>Off</v>
      </c>
      <c r="Q3636" t="str">
        <f t="shared" si="652"/>
        <v>Off</v>
      </c>
    </row>
    <row r="3637" spans="1:129">
      <c r="A3637" t="s">
        <v>3617</v>
      </c>
      <c r="B3637">
        <v>0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</row>
    <row r="3638" spans="1:129">
      <c r="A3638" t="s">
        <v>3600</v>
      </c>
      <c r="B3638">
        <v>0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</row>
    <row r="3639" spans="1:129">
      <c r="A3639" t="s">
        <v>3601</v>
      </c>
      <c r="B3639" t="str">
        <f t="shared" ref="B3639:Q3641" si="653">"Off"</f>
        <v>Off</v>
      </c>
      <c r="C3639" t="str">
        <f t="shared" si="653"/>
        <v>Off</v>
      </c>
      <c r="D3639" t="str">
        <f t="shared" si="653"/>
        <v>Off</v>
      </c>
      <c r="E3639" t="str">
        <f t="shared" si="653"/>
        <v>Off</v>
      </c>
      <c r="F3639" t="str">
        <f t="shared" si="653"/>
        <v>Off</v>
      </c>
      <c r="G3639" t="str">
        <f t="shared" si="653"/>
        <v>Off</v>
      </c>
      <c r="H3639" t="str">
        <f t="shared" si="653"/>
        <v>Off</v>
      </c>
      <c r="I3639" t="str">
        <f t="shared" si="653"/>
        <v>Off</v>
      </c>
      <c r="J3639" t="str">
        <f t="shared" si="653"/>
        <v>Off</v>
      </c>
      <c r="K3639" t="str">
        <f t="shared" si="653"/>
        <v>Off</v>
      </c>
      <c r="L3639" t="str">
        <f t="shared" si="653"/>
        <v>Off</v>
      </c>
      <c r="M3639" t="str">
        <f t="shared" si="653"/>
        <v>Off</v>
      </c>
      <c r="N3639" t="str">
        <f t="shared" si="653"/>
        <v>Off</v>
      </c>
      <c r="O3639" t="str">
        <f t="shared" si="653"/>
        <v>Off</v>
      </c>
      <c r="P3639" t="str">
        <f t="shared" si="653"/>
        <v>Off</v>
      </c>
      <c r="Q3639" t="str">
        <f t="shared" si="653"/>
        <v>Off</v>
      </c>
    </row>
    <row r="3640" spans="1:129">
      <c r="A3640" t="s">
        <v>3602</v>
      </c>
      <c r="B3640" t="str">
        <f t="shared" si="653"/>
        <v>Off</v>
      </c>
      <c r="C3640" t="str">
        <f t="shared" si="653"/>
        <v>Off</v>
      </c>
      <c r="D3640" t="str">
        <f t="shared" si="653"/>
        <v>Off</v>
      </c>
      <c r="E3640" t="str">
        <f t="shared" si="653"/>
        <v>Off</v>
      </c>
      <c r="F3640" t="str">
        <f t="shared" si="653"/>
        <v>Off</v>
      </c>
      <c r="G3640" t="str">
        <f t="shared" si="653"/>
        <v>Off</v>
      </c>
      <c r="H3640" t="str">
        <f t="shared" si="653"/>
        <v>Off</v>
      </c>
      <c r="I3640" t="str">
        <f t="shared" si="653"/>
        <v>Off</v>
      </c>
      <c r="J3640" t="str">
        <f t="shared" si="653"/>
        <v>Off</v>
      </c>
      <c r="K3640" t="str">
        <f t="shared" si="653"/>
        <v>Off</v>
      </c>
      <c r="L3640" t="str">
        <f t="shared" si="653"/>
        <v>Off</v>
      </c>
      <c r="M3640" t="str">
        <f t="shared" si="653"/>
        <v>Off</v>
      </c>
      <c r="N3640" t="str">
        <f t="shared" si="653"/>
        <v>Off</v>
      </c>
      <c r="O3640" t="str">
        <f t="shared" si="653"/>
        <v>Off</v>
      </c>
      <c r="P3640" t="str">
        <f t="shared" si="653"/>
        <v>Off</v>
      </c>
      <c r="Q3640" t="str">
        <f t="shared" si="653"/>
        <v>Off</v>
      </c>
    </row>
    <row r="3641" spans="1:129">
      <c r="A3641" t="s">
        <v>3618</v>
      </c>
      <c r="B3641" t="str">
        <f t="shared" si="653"/>
        <v>Off</v>
      </c>
      <c r="C3641" t="str">
        <f t="shared" si="653"/>
        <v>Off</v>
      </c>
      <c r="D3641" t="str">
        <f t="shared" si="653"/>
        <v>Off</v>
      </c>
      <c r="E3641" t="str">
        <f t="shared" si="653"/>
        <v>Off</v>
      </c>
      <c r="F3641" t="str">
        <f t="shared" si="653"/>
        <v>Off</v>
      </c>
      <c r="G3641" t="str">
        <f t="shared" si="653"/>
        <v>Off</v>
      </c>
      <c r="H3641" t="str">
        <f t="shared" si="653"/>
        <v>Off</v>
      </c>
      <c r="I3641" t="str">
        <f t="shared" si="653"/>
        <v>Off</v>
      </c>
      <c r="J3641" t="str">
        <f t="shared" si="653"/>
        <v>Off</v>
      </c>
      <c r="K3641" t="str">
        <f t="shared" si="653"/>
        <v>Off</v>
      </c>
      <c r="L3641" t="str">
        <f t="shared" si="653"/>
        <v>Off</v>
      </c>
      <c r="M3641" t="str">
        <f t="shared" si="653"/>
        <v>Off</v>
      </c>
      <c r="N3641" t="str">
        <f t="shared" si="653"/>
        <v>Off</v>
      </c>
      <c r="O3641" t="str">
        <f t="shared" si="653"/>
        <v>Off</v>
      </c>
      <c r="P3641" t="str">
        <f t="shared" si="653"/>
        <v>Off</v>
      </c>
      <c r="Q3641" t="str">
        <f t="shared" si="653"/>
        <v>Off</v>
      </c>
    </row>
    <row r="3643" spans="1:129">
      <c r="B3643" t="s">
        <v>3621</v>
      </c>
      <c r="C3643">
        <v>7</v>
      </c>
      <c r="D3643">
        <v>128</v>
      </c>
      <c r="E3643">
        <v>1</v>
      </c>
    </row>
    <row r="3644" spans="1:129">
      <c r="B3644" t="s">
        <v>3622</v>
      </c>
      <c r="C3644" t="s">
        <v>3623</v>
      </c>
      <c r="D3644" t="s">
        <v>3624</v>
      </c>
      <c r="E3644" t="s">
        <v>3625</v>
      </c>
      <c r="F3644" t="s">
        <v>3626</v>
      </c>
      <c r="G3644" t="s">
        <v>3627</v>
      </c>
      <c r="H3644" t="s">
        <v>3628</v>
      </c>
      <c r="I3644" t="s">
        <v>3629</v>
      </c>
      <c r="J3644" t="s">
        <v>3630</v>
      </c>
      <c r="K3644" t="s">
        <v>3631</v>
      </c>
      <c r="L3644" t="s">
        <v>3632</v>
      </c>
      <c r="M3644" t="s">
        <v>3633</v>
      </c>
      <c r="N3644" t="s">
        <v>3634</v>
      </c>
      <c r="O3644" t="s">
        <v>3635</v>
      </c>
      <c r="P3644" t="s">
        <v>3636</v>
      </c>
      <c r="Q3644" t="s">
        <v>3637</v>
      </c>
      <c r="R3644" t="s">
        <v>3638</v>
      </c>
      <c r="S3644" t="s">
        <v>3639</v>
      </c>
      <c r="T3644" t="s">
        <v>3640</v>
      </c>
      <c r="U3644" t="s">
        <v>3641</v>
      </c>
      <c r="V3644" t="s">
        <v>3642</v>
      </c>
      <c r="W3644" t="s">
        <v>3643</v>
      </c>
      <c r="X3644" t="s">
        <v>3644</v>
      </c>
      <c r="Y3644" t="s">
        <v>3645</v>
      </c>
      <c r="Z3644" t="s">
        <v>3646</v>
      </c>
      <c r="AA3644" t="s">
        <v>3647</v>
      </c>
      <c r="AB3644" t="s">
        <v>3648</v>
      </c>
      <c r="AC3644" t="s">
        <v>3649</v>
      </c>
      <c r="AD3644" t="s">
        <v>3650</v>
      </c>
      <c r="AE3644" t="s">
        <v>3651</v>
      </c>
      <c r="AF3644" t="s">
        <v>3652</v>
      </c>
      <c r="AG3644" t="s">
        <v>3653</v>
      </c>
      <c r="AH3644" t="s">
        <v>3654</v>
      </c>
      <c r="AI3644" t="s">
        <v>3655</v>
      </c>
      <c r="AJ3644" t="s">
        <v>3656</v>
      </c>
      <c r="AK3644" t="s">
        <v>3657</v>
      </c>
      <c r="AL3644" t="s">
        <v>3658</v>
      </c>
      <c r="AM3644" t="s">
        <v>3659</v>
      </c>
      <c r="AN3644" t="s">
        <v>3660</v>
      </c>
      <c r="AO3644" t="s">
        <v>3661</v>
      </c>
      <c r="AP3644" t="s">
        <v>3662</v>
      </c>
      <c r="AQ3644" t="s">
        <v>3663</v>
      </c>
      <c r="AR3644" t="s">
        <v>3664</v>
      </c>
      <c r="AS3644" t="s">
        <v>3665</v>
      </c>
      <c r="AT3644" t="s">
        <v>3666</v>
      </c>
      <c r="AU3644" t="s">
        <v>3667</v>
      </c>
      <c r="AV3644" t="s">
        <v>3668</v>
      </c>
      <c r="AW3644" t="s">
        <v>3669</v>
      </c>
      <c r="AX3644" t="s">
        <v>3670</v>
      </c>
      <c r="AY3644" t="s">
        <v>3671</v>
      </c>
      <c r="AZ3644" t="s">
        <v>3672</v>
      </c>
      <c r="BA3644" t="s">
        <v>3673</v>
      </c>
      <c r="BB3644" t="s">
        <v>3674</v>
      </c>
      <c r="BC3644" t="s">
        <v>3675</v>
      </c>
      <c r="BD3644" t="s">
        <v>3676</v>
      </c>
      <c r="BE3644" t="s">
        <v>3677</v>
      </c>
      <c r="BF3644" t="s">
        <v>3678</v>
      </c>
      <c r="BG3644" t="s">
        <v>3679</v>
      </c>
      <c r="BH3644" t="s">
        <v>3680</v>
      </c>
      <c r="BI3644" t="s">
        <v>3681</v>
      </c>
      <c r="BJ3644" t="s">
        <v>3682</v>
      </c>
      <c r="BK3644" t="s">
        <v>3683</v>
      </c>
      <c r="BL3644" t="s">
        <v>3684</v>
      </c>
      <c r="BM3644" t="s">
        <v>3685</v>
      </c>
      <c r="BN3644" t="s">
        <v>3686</v>
      </c>
      <c r="BO3644" t="s">
        <v>3687</v>
      </c>
      <c r="BP3644" t="s">
        <v>3688</v>
      </c>
      <c r="BQ3644" t="s">
        <v>3689</v>
      </c>
      <c r="BR3644" t="s">
        <v>3690</v>
      </c>
      <c r="BS3644" t="s">
        <v>3691</v>
      </c>
      <c r="BT3644" t="s">
        <v>3692</v>
      </c>
      <c r="BU3644" t="s">
        <v>3693</v>
      </c>
      <c r="BV3644" t="s">
        <v>3694</v>
      </c>
      <c r="BW3644" t="s">
        <v>3695</v>
      </c>
      <c r="BX3644" t="s">
        <v>3696</v>
      </c>
      <c r="BY3644" t="s">
        <v>3697</v>
      </c>
      <c r="BZ3644" t="s">
        <v>3698</v>
      </c>
      <c r="CA3644" t="s">
        <v>3699</v>
      </c>
      <c r="CB3644" t="s">
        <v>3700</v>
      </c>
      <c r="CC3644" t="s">
        <v>3701</v>
      </c>
      <c r="CD3644" t="s">
        <v>3702</v>
      </c>
      <c r="CE3644" t="s">
        <v>3703</v>
      </c>
      <c r="CF3644" t="s">
        <v>3704</v>
      </c>
      <c r="CG3644" t="s">
        <v>3705</v>
      </c>
      <c r="CH3644" t="s">
        <v>3706</v>
      </c>
      <c r="CI3644" t="s">
        <v>3707</v>
      </c>
      <c r="CJ3644" t="s">
        <v>3708</v>
      </c>
      <c r="CK3644" t="s">
        <v>3709</v>
      </c>
      <c r="CL3644" t="s">
        <v>3710</v>
      </c>
      <c r="CM3644" t="s">
        <v>3711</v>
      </c>
      <c r="CN3644" t="s">
        <v>3712</v>
      </c>
      <c r="CO3644" t="s">
        <v>3713</v>
      </c>
      <c r="CP3644" t="s">
        <v>3714</v>
      </c>
      <c r="CQ3644" t="s">
        <v>3715</v>
      </c>
      <c r="CR3644" t="s">
        <v>3716</v>
      </c>
      <c r="CS3644" t="s">
        <v>3717</v>
      </c>
      <c r="CT3644" t="s">
        <v>3718</v>
      </c>
      <c r="CU3644" t="s">
        <v>3719</v>
      </c>
      <c r="CV3644" t="s">
        <v>3720</v>
      </c>
      <c r="CW3644" t="s">
        <v>3721</v>
      </c>
      <c r="CX3644" t="s">
        <v>3722</v>
      </c>
      <c r="CY3644" t="s">
        <v>3723</v>
      </c>
      <c r="CZ3644" t="s">
        <v>3724</v>
      </c>
      <c r="DA3644" t="s">
        <v>3725</v>
      </c>
      <c r="DB3644" t="s">
        <v>3726</v>
      </c>
      <c r="DC3644" t="s">
        <v>3727</v>
      </c>
      <c r="DD3644" t="s">
        <v>3728</v>
      </c>
      <c r="DE3644" t="s">
        <v>3729</v>
      </c>
      <c r="DF3644" t="s">
        <v>3730</v>
      </c>
      <c r="DG3644" t="s">
        <v>3731</v>
      </c>
      <c r="DH3644" t="s">
        <v>3732</v>
      </c>
      <c r="DI3644" t="s">
        <v>3733</v>
      </c>
      <c r="DJ3644" t="s">
        <v>3734</v>
      </c>
      <c r="DK3644" t="s">
        <v>3735</v>
      </c>
      <c r="DL3644" t="s">
        <v>3736</v>
      </c>
      <c r="DM3644" t="s">
        <v>3737</v>
      </c>
      <c r="DN3644" t="s">
        <v>3738</v>
      </c>
      <c r="DO3644" t="s">
        <v>3739</v>
      </c>
      <c r="DP3644" t="s">
        <v>3740</v>
      </c>
      <c r="DQ3644" t="s">
        <v>3741</v>
      </c>
      <c r="DR3644" t="s">
        <v>3742</v>
      </c>
      <c r="DS3644" t="s">
        <v>3743</v>
      </c>
      <c r="DT3644" t="s">
        <v>3744</v>
      </c>
      <c r="DU3644" t="s">
        <v>3745</v>
      </c>
      <c r="DV3644" t="s">
        <v>3746</v>
      </c>
      <c r="DW3644" t="s">
        <v>3747</v>
      </c>
      <c r="DX3644" t="s">
        <v>3748</v>
      </c>
      <c r="DY3644" t="s">
        <v>3749</v>
      </c>
    </row>
    <row r="3645" spans="1:129">
      <c r="A3645" t="s">
        <v>3612</v>
      </c>
      <c r="B3645">
        <v>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v>0</v>
      </c>
      <c r="BH3645">
        <v>0</v>
      </c>
      <c r="BI3645">
        <v>0</v>
      </c>
      <c r="BJ3645">
        <v>0</v>
      </c>
      <c r="BK3645">
        <v>0</v>
      </c>
      <c r="BL3645">
        <v>0</v>
      </c>
      <c r="BM3645">
        <v>0</v>
      </c>
      <c r="BN3645">
        <v>0</v>
      </c>
      <c r="BO3645">
        <v>0</v>
      </c>
      <c r="BP3645">
        <v>0</v>
      </c>
      <c r="BQ3645">
        <v>0</v>
      </c>
      <c r="BR3645">
        <v>0</v>
      </c>
      <c r="BS3645">
        <v>0</v>
      </c>
      <c r="BT3645">
        <v>0</v>
      </c>
      <c r="BU3645">
        <v>0</v>
      </c>
      <c r="BV3645">
        <v>0</v>
      </c>
      <c r="BW3645">
        <v>0</v>
      </c>
      <c r="BX3645">
        <v>0</v>
      </c>
      <c r="BY3645">
        <v>0</v>
      </c>
      <c r="BZ3645">
        <v>0</v>
      </c>
      <c r="CA3645">
        <v>0</v>
      </c>
      <c r="CB3645">
        <v>0</v>
      </c>
      <c r="CC3645">
        <v>0</v>
      </c>
      <c r="CD3645">
        <v>0</v>
      </c>
      <c r="CE3645">
        <v>0</v>
      </c>
      <c r="CF3645">
        <v>0</v>
      </c>
      <c r="CG3645">
        <v>0</v>
      </c>
      <c r="CH3645">
        <v>0</v>
      </c>
      <c r="CI3645">
        <v>0</v>
      </c>
      <c r="CJ3645">
        <v>0</v>
      </c>
      <c r="CK3645">
        <v>0</v>
      </c>
      <c r="CL3645">
        <v>0</v>
      </c>
      <c r="CM3645">
        <v>0</v>
      </c>
      <c r="CN3645">
        <v>0</v>
      </c>
      <c r="CO3645">
        <v>0</v>
      </c>
      <c r="CP3645">
        <v>0</v>
      </c>
      <c r="CQ3645">
        <v>0</v>
      </c>
      <c r="CR3645">
        <v>0</v>
      </c>
      <c r="CS3645">
        <v>0</v>
      </c>
      <c r="CT3645">
        <v>0</v>
      </c>
      <c r="CU3645">
        <v>0</v>
      </c>
      <c r="CV3645">
        <v>0</v>
      </c>
      <c r="CW3645">
        <v>0</v>
      </c>
      <c r="CX3645">
        <v>0</v>
      </c>
      <c r="CY3645">
        <v>0</v>
      </c>
      <c r="CZ3645">
        <v>0</v>
      </c>
      <c r="DA3645">
        <v>0</v>
      </c>
      <c r="DB3645">
        <v>0</v>
      </c>
      <c r="DC3645">
        <v>0</v>
      </c>
      <c r="DD3645">
        <v>0</v>
      </c>
      <c r="DE3645">
        <v>0</v>
      </c>
      <c r="DF3645">
        <v>0</v>
      </c>
      <c r="DG3645">
        <v>0</v>
      </c>
      <c r="DH3645">
        <v>0</v>
      </c>
      <c r="DI3645">
        <v>0</v>
      </c>
      <c r="DJ3645">
        <v>0</v>
      </c>
      <c r="DK3645">
        <v>0</v>
      </c>
      <c r="DL3645">
        <v>0</v>
      </c>
      <c r="DM3645">
        <v>0</v>
      </c>
      <c r="DN3645">
        <v>0</v>
      </c>
      <c r="DO3645">
        <v>0</v>
      </c>
      <c r="DP3645">
        <v>0</v>
      </c>
      <c r="DQ3645">
        <v>0</v>
      </c>
      <c r="DR3645">
        <v>0</v>
      </c>
      <c r="DS3645">
        <v>0</v>
      </c>
      <c r="DT3645">
        <v>0</v>
      </c>
      <c r="DU3645">
        <v>0</v>
      </c>
      <c r="DV3645">
        <v>0</v>
      </c>
      <c r="DW3645">
        <v>0</v>
      </c>
      <c r="DX3645">
        <v>0</v>
      </c>
      <c r="DY3645">
        <v>0</v>
      </c>
    </row>
    <row r="3646" spans="1:129">
      <c r="A3646" t="s">
        <v>3613</v>
      </c>
      <c r="B3646">
        <v>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v>0</v>
      </c>
      <c r="BH3646">
        <v>0</v>
      </c>
      <c r="BI3646">
        <v>0</v>
      </c>
      <c r="BJ3646">
        <v>0</v>
      </c>
      <c r="BK3646">
        <v>0</v>
      </c>
      <c r="BL3646">
        <v>0</v>
      </c>
      <c r="BM3646">
        <v>0</v>
      </c>
      <c r="BN3646">
        <v>0</v>
      </c>
      <c r="BO3646">
        <v>0</v>
      </c>
      <c r="BP3646">
        <v>0</v>
      </c>
      <c r="BQ3646">
        <v>0</v>
      </c>
      <c r="BR3646">
        <v>0</v>
      </c>
      <c r="BS3646">
        <v>0</v>
      </c>
      <c r="BT3646">
        <v>0</v>
      </c>
      <c r="BU3646">
        <v>0</v>
      </c>
      <c r="BV3646">
        <v>0</v>
      </c>
      <c r="BW3646">
        <v>0</v>
      </c>
      <c r="BX3646">
        <v>0</v>
      </c>
      <c r="BY3646">
        <v>0</v>
      </c>
      <c r="BZ3646">
        <v>0</v>
      </c>
      <c r="CA3646">
        <v>0</v>
      </c>
      <c r="CB3646">
        <v>0</v>
      </c>
      <c r="CC3646">
        <v>0</v>
      </c>
      <c r="CD3646">
        <v>0</v>
      </c>
      <c r="CE3646">
        <v>0</v>
      </c>
      <c r="CF3646">
        <v>0</v>
      </c>
      <c r="CG3646">
        <v>0</v>
      </c>
      <c r="CH3646">
        <v>0</v>
      </c>
      <c r="CI3646">
        <v>0</v>
      </c>
      <c r="CJ3646">
        <v>0</v>
      </c>
      <c r="CK3646">
        <v>0</v>
      </c>
      <c r="CL3646">
        <v>0</v>
      </c>
      <c r="CM3646">
        <v>0</v>
      </c>
      <c r="CN3646">
        <v>0</v>
      </c>
      <c r="CO3646">
        <v>0</v>
      </c>
      <c r="CP3646">
        <v>0</v>
      </c>
      <c r="CQ3646">
        <v>0</v>
      </c>
      <c r="CR3646">
        <v>0</v>
      </c>
      <c r="CS3646">
        <v>0</v>
      </c>
      <c r="CT3646">
        <v>0</v>
      </c>
      <c r="CU3646">
        <v>0</v>
      </c>
      <c r="CV3646">
        <v>0</v>
      </c>
      <c r="CW3646">
        <v>0</v>
      </c>
      <c r="CX3646">
        <v>0</v>
      </c>
      <c r="CY3646">
        <v>0</v>
      </c>
      <c r="CZ3646">
        <v>0</v>
      </c>
      <c r="DA3646">
        <v>0</v>
      </c>
      <c r="DB3646">
        <v>0</v>
      </c>
      <c r="DC3646">
        <v>0</v>
      </c>
      <c r="DD3646">
        <v>0</v>
      </c>
      <c r="DE3646">
        <v>0</v>
      </c>
      <c r="DF3646">
        <v>0</v>
      </c>
      <c r="DG3646">
        <v>0</v>
      </c>
      <c r="DH3646">
        <v>0</v>
      </c>
      <c r="DI3646">
        <v>0</v>
      </c>
      <c r="DJ3646">
        <v>0</v>
      </c>
      <c r="DK3646">
        <v>0</v>
      </c>
      <c r="DL3646">
        <v>0</v>
      </c>
      <c r="DM3646">
        <v>0</v>
      </c>
      <c r="DN3646">
        <v>0</v>
      </c>
      <c r="DO3646">
        <v>0</v>
      </c>
      <c r="DP3646">
        <v>0</v>
      </c>
      <c r="DQ3646">
        <v>0</v>
      </c>
      <c r="DR3646">
        <v>0</v>
      </c>
      <c r="DS3646">
        <v>0</v>
      </c>
      <c r="DT3646">
        <v>0</v>
      </c>
      <c r="DU3646">
        <v>0</v>
      </c>
      <c r="DV3646">
        <v>0</v>
      </c>
      <c r="DW3646">
        <v>0</v>
      </c>
      <c r="DX3646">
        <v>0</v>
      </c>
      <c r="DY3646">
        <v>0</v>
      </c>
    </row>
    <row r="3647" spans="1:129">
      <c r="A3647" t="s">
        <v>3750</v>
      </c>
      <c r="B3647" t="str">
        <f t="shared" ref="B3647:AC3647" si="654">"NORM "</f>
        <v xml:space="preserve">NORM </v>
      </c>
      <c r="C3647" t="str">
        <f t="shared" si="654"/>
        <v xml:space="preserve">NORM </v>
      </c>
      <c r="D3647" t="str">
        <f t="shared" si="654"/>
        <v xml:space="preserve">NORM </v>
      </c>
      <c r="E3647" t="str">
        <f t="shared" si="654"/>
        <v xml:space="preserve">NORM </v>
      </c>
      <c r="F3647" t="str">
        <f t="shared" si="654"/>
        <v xml:space="preserve">NORM </v>
      </c>
      <c r="G3647" t="str">
        <f t="shared" si="654"/>
        <v xml:space="preserve">NORM </v>
      </c>
      <c r="H3647" t="str">
        <f t="shared" si="654"/>
        <v xml:space="preserve">NORM </v>
      </c>
      <c r="I3647" t="str">
        <f t="shared" si="654"/>
        <v xml:space="preserve">NORM </v>
      </c>
      <c r="J3647" t="str">
        <f t="shared" si="654"/>
        <v xml:space="preserve">NORM </v>
      </c>
      <c r="K3647" t="str">
        <f t="shared" si="654"/>
        <v xml:space="preserve">NORM </v>
      </c>
      <c r="L3647" t="str">
        <f t="shared" si="654"/>
        <v xml:space="preserve">NORM </v>
      </c>
      <c r="M3647" t="str">
        <f t="shared" si="654"/>
        <v xml:space="preserve">NORM </v>
      </c>
      <c r="N3647" t="str">
        <f t="shared" si="654"/>
        <v xml:space="preserve">NORM </v>
      </c>
      <c r="O3647" t="str">
        <f t="shared" si="654"/>
        <v xml:space="preserve">NORM </v>
      </c>
      <c r="P3647" t="str">
        <f t="shared" si="654"/>
        <v xml:space="preserve">NORM </v>
      </c>
      <c r="Q3647" t="str">
        <f t="shared" si="654"/>
        <v xml:space="preserve">NORM </v>
      </c>
      <c r="R3647" t="str">
        <f t="shared" si="654"/>
        <v xml:space="preserve">NORM </v>
      </c>
      <c r="S3647" t="str">
        <f t="shared" si="654"/>
        <v xml:space="preserve">NORM </v>
      </c>
      <c r="T3647" t="str">
        <f t="shared" si="654"/>
        <v xml:space="preserve">NORM </v>
      </c>
      <c r="U3647" t="str">
        <f t="shared" si="654"/>
        <v xml:space="preserve">NORM </v>
      </c>
      <c r="V3647" t="str">
        <f t="shared" si="654"/>
        <v xml:space="preserve">NORM </v>
      </c>
      <c r="W3647" t="str">
        <f t="shared" si="654"/>
        <v xml:space="preserve">NORM </v>
      </c>
      <c r="X3647" t="str">
        <f t="shared" si="654"/>
        <v xml:space="preserve">NORM </v>
      </c>
      <c r="Y3647" t="str">
        <f t="shared" si="654"/>
        <v xml:space="preserve">NORM </v>
      </c>
      <c r="Z3647" t="str">
        <f t="shared" si="654"/>
        <v xml:space="preserve">NORM </v>
      </c>
      <c r="AA3647" t="str">
        <f t="shared" si="654"/>
        <v xml:space="preserve">NORM </v>
      </c>
      <c r="AB3647" t="str">
        <f t="shared" si="654"/>
        <v xml:space="preserve">NORM </v>
      </c>
      <c r="AC3647" t="str">
        <f t="shared" si="654"/>
        <v xml:space="preserve">NORM </v>
      </c>
      <c r="AD3647" t="str">
        <f>"BIKE "</f>
        <v xml:space="preserve">BIKE </v>
      </c>
      <c r="AE3647" t="str">
        <f>"BIKE "</f>
        <v xml:space="preserve">BIKE </v>
      </c>
      <c r="AF3647" t="str">
        <f>"BIKE "</f>
        <v xml:space="preserve">BIKE </v>
      </c>
      <c r="AG3647" t="str">
        <f>"BIKE "</f>
        <v xml:space="preserve">BIKE </v>
      </c>
      <c r="AH3647" t="str">
        <f t="shared" ref="AH3647:BM3647" si="655">"NORM "</f>
        <v xml:space="preserve">NORM </v>
      </c>
      <c r="AI3647" t="str">
        <f t="shared" si="655"/>
        <v xml:space="preserve">NORM </v>
      </c>
      <c r="AJ3647" t="str">
        <f t="shared" si="655"/>
        <v xml:space="preserve">NORM </v>
      </c>
      <c r="AK3647" t="str">
        <f t="shared" si="655"/>
        <v xml:space="preserve">NORM </v>
      </c>
      <c r="AL3647" t="str">
        <f t="shared" si="655"/>
        <v xml:space="preserve">NORM </v>
      </c>
      <c r="AM3647" t="str">
        <f t="shared" si="655"/>
        <v xml:space="preserve">NORM </v>
      </c>
      <c r="AN3647" t="str">
        <f t="shared" si="655"/>
        <v xml:space="preserve">NORM </v>
      </c>
      <c r="AO3647" t="str">
        <f t="shared" si="655"/>
        <v xml:space="preserve">NORM </v>
      </c>
      <c r="AP3647" t="str">
        <f t="shared" si="655"/>
        <v xml:space="preserve">NORM </v>
      </c>
      <c r="AQ3647" t="str">
        <f t="shared" si="655"/>
        <v xml:space="preserve">NORM </v>
      </c>
      <c r="AR3647" t="str">
        <f t="shared" si="655"/>
        <v xml:space="preserve">NORM </v>
      </c>
      <c r="AS3647" t="str">
        <f t="shared" si="655"/>
        <v xml:space="preserve">NORM </v>
      </c>
      <c r="AT3647" t="str">
        <f t="shared" si="655"/>
        <v xml:space="preserve">NORM </v>
      </c>
      <c r="AU3647" t="str">
        <f t="shared" si="655"/>
        <v xml:space="preserve">NORM </v>
      </c>
      <c r="AV3647" t="str">
        <f t="shared" si="655"/>
        <v xml:space="preserve">NORM </v>
      </c>
      <c r="AW3647" t="str">
        <f t="shared" si="655"/>
        <v xml:space="preserve">NORM </v>
      </c>
      <c r="AX3647" t="str">
        <f t="shared" si="655"/>
        <v xml:space="preserve">NORM </v>
      </c>
      <c r="AY3647" t="str">
        <f t="shared" si="655"/>
        <v xml:space="preserve">NORM </v>
      </c>
      <c r="AZ3647" t="str">
        <f t="shared" si="655"/>
        <v xml:space="preserve">NORM </v>
      </c>
      <c r="BA3647" t="str">
        <f t="shared" si="655"/>
        <v xml:space="preserve">NORM </v>
      </c>
      <c r="BB3647" t="str">
        <f t="shared" si="655"/>
        <v xml:space="preserve">NORM </v>
      </c>
      <c r="BC3647" t="str">
        <f t="shared" si="655"/>
        <v xml:space="preserve">NORM </v>
      </c>
      <c r="BD3647" t="str">
        <f t="shared" si="655"/>
        <v xml:space="preserve">NORM </v>
      </c>
      <c r="BE3647" t="str">
        <f t="shared" si="655"/>
        <v xml:space="preserve">NORM </v>
      </c>
      <c r="BF3647" t="str">
        <f t="shared" si="655"/>
        <v xml:space="preserve">NORM </v>
      </c>
      <c r="BG3647" t="str">
        <f t="shared" si="655"/>
        <v xml:space="preserve">NORM </v>
      </c>
      <c r="BH3647" t="str">
        <f t="shared" si="655"/>
        <v xml:space="preserve">NORM </v>
      </c>
      <c r="BI3647" t="str">
        <f t="shared" si="655"/>
        <v xml:space="preserve">NORM </v>
      </c>
      <c r="BJ3647" t="str">
        <f t="shared" si="655"/>
        <v xml:space="preserve">NORM </v>
      </c>
      <c r="BK3647" t="str">
        <f t="shared" si="655"/>
        <v xml:space="preserve">NORM </v>
      </c>
      <c r="BL3647" t="str">
        <f t="shared" si="655"/>
        <v xml:space="preserve">NORM </v>
      </c>
      <c r="BM3647" t="str">
        <f t="shared" si="655"/>
        <v xml:space="preserve">NORM </v>
      </c>
      <c r="BN3647" t="str">
        <f t="shared" ref="BN3647:CS3647" si="656">"NORM "</f>
        <v xml:space="preserve">NORM </v>
      </c>
      <c r="BO3647" t="str">
        <f t="shared" si="656"/>
        <v xml:space="preserve">NORM </v>
      </c>
      <c r="BP3647" t="str">
        <f t="shared" si="656"/>
        <v xml:space="preserve">NORM </v>
      </c>
      <c r="BQ3647" t="str">
        <f t="shared" si="656"/>
        <v xml:space="preserve">NORM </v>
      </c>
      <c r="BR3647" t="str">
        <f t="shared" si="656"/>
        <v xml:space="preserve">NORM </v>
      </c>
      <c r="BS3647" t="str">
        <f t="shared" si="656"/>
        <v xml:space="preserve">NORM </v>
      </c>
      <c r="BT3647" t="str">
        <f t="shared" si="656"/>
        <v xml:space="preserve">NORM </v>
      </c>
      <c r="BU3647" t="str">
        <f t="shared" si="656"/>
        <v xml:space="preserve">NORM </v>
      </c>
      <c r="BV3647" t="str">
        <f t="shared" si="656"/>
        <v xml:space="preserve">NORM </v>
      </c>
      <c r="BW3647" t="str">
        <f t="shared" si="656"/>
        <v xml:space="preserve">NORM </v>
      </c>
      <c r="BX3647" t="str">
        <f t="shared" si="656"/>
        <v xml:space="preserve">NORM </v>
      </c>
      <c r="BY3647" t="str">
        <f t="shared" si="656"/>
        <v xml:space="preserve">NORM </v>
      </c>
      <c r="BZ3647" t="str">
        <f t="shared" si="656"/>
        <v xml:space="preserve">NORM </v>
      </c>
      <c r="CA3647" t="str">
        <f t="shared" si="656"/>
        <v xml:space="preserve">NORM </v>
      </c>
      <c r="CB3647" t="str">
        <f t="shared" si="656"/>
        <v xml:space="preserve">NORM </v>
      </c>
      <c r="CC3647" t="str">
        <f t="shared" si="656"/>
        <v xml:space="preserve">NORM </v>
      </c>
      <c r="CD3647" t="str">
        <f t="shared" si="656"/>
        <v xml:space="preserve">NORM </v>
      </c>
      <c r="CE3647" t="str">
        <f t="shared" si="656"/>
        <v xml:space="preserve">NORM </v>
      </c>
      <c r="CF3647" t="str">
        <f t="shared" si="656"/>
        <v xml:space="preserve">NORM </v>
      </c>
      <c r="CG3647" t="str">
        <f t="shared" si="656"/>
        <v xml:space="preserve">NORM </v>
      </c>
      <c r="CH3647" t="str">
        <f t="shared" si="656"/>
        <v xml:space="preserve">NORM </v>
      </c>
      <c r="CI3647" t="str">
        <f t="shared" si="656"/>
        <v xml:space="preserve">NORM </v>
      </c>
      <c r="CJ3647" t="str">
        <f t="shared" si="656"/>
        <v xml:space="preserve">NORM </v>
      </c>
      <c r="CK3647" t="str">
        <f t="shared" si="656"/>
        <v xml:space="preserve">NORM </v>
      </c>
      <c r="CL3647" t="str">
        <f t="shared" si="656"/>
        <v xml:space="preserve">NORM </v>
      </c>
      <c r="CM3647" t="str">
        <f t="shared" si="656"/>
        <v xml:space="preserve">NORM </v>
      </c>
      <c r="CN3647" t="str">
        <f t="shared" si="656"/>
        <v xml:space="preserve">NORM </v>
      </c>
      <c r="CO3647" t="str">
        <f t="shared" si="656"/>
        <v xml:space="preserve">NORM </v>
      </c>
      <c r="CP3647" t="str">
        <f t="shared" si="656"/>
        <v xml:space="preserve">NORM </v>
      </c>
      <c r="CQ3647" t="str">
        <f t="shared" si="656"/>
        <v xml:space="preserve">NORM </v>
      </c>
      <c r="CR3647" t="str">
        <f t="shared" si="656"/>
        <v xml:space="preserve">NORM </v>
      </c>
      <c r="CS3647" t="str">
        <f t="shared" si="656"/>
        <v xml:space="preserve">NORM </v>
      </c>
      <c r="CT3647" t="str">
        <f t="shared" ref="CT3647:DY3647" si="657">"NORM "</f>
        <v xml:space="preserve">NORM </v>
      </c>
      <c r="CU3647" t="str">
        <f t="shared" si="657"/>
        <v xml:space="preserve">NORM </v>
      </c>
      <c r="CV3647" t="str">
        <f t="shared" si="657"/>
        <v xml:space="preserve">NORM </v>
      </c>
      <c r="CW3647" t="str">
        <f t="shared" si="657"/>
        <v xml:space="preserve">NORM </v>
      </c>
      <c r="CX3647" t="str">
        <f t="shared" si="657"/>
        <v xml:space="preserve">NORM </v>
      </c>
      <c r="CY3647" t="str">
        <f t="shared" si="657"/>
        <v xml:space="preserve">NORM </v>
      </c>
      <c r="CZ3647" t="str">
        <f t="shared" si="657"/>
        <v xml:space="preserve">NORM </v>
      </c>
      <c r="DA3647" t="str">
        <f t="shared" si="657"/>
        <v xml:space="preserve">NORM </v>
      </c>
      <c r="DB3647" t="str">
        <f t="shared" si="657"/>
        <v xml:space="preserve">NORM </v>
      </c>
      <c r="DC3647" t="str">
        <f t="shared" si="657"/>
        <v xml:space="preserve">NORM </v>
      </c>
      <c r="DD3647" t="str">
        <f t="shared" si="657"/>
        <v xml:space="preserve">NORM </v>
      </c>
      <c r="DE3647" t="str">
        <f t="shared" si="657"/>
        <v xml:space="preserve">NORM </v>
      </c>
      <c r="DF3647" t="str">
        <f t="shared" si="657"/>
        <v xml:space="preserve">NORM </v>
      </c>
      <c r="DG3647" t="str">
        <f t="shared" si="657"/>
        <v xml:space="preserve">NORM </v>
      </c>
      <c r="DH3647" t="str">
        <f t="shared" si="657"/>
        <v xml:space="preserve">NORM </v>
      </c>
      <c r="DI3647" t="str">
        <f t="shared" si="657"/>
        <v xml:space="preserve">NORM </v>
      </c>
      <c r="DJ3647" t="str">
        <f t="shared" si="657"/>
        <v xml:space="preserve">NORM </v>
      </c>
      <c r="DK3647" t="str">
        <f t="shared" si="657"/>
        <v xml:space="preserve">NORM </v>
      </c>
      <c r="DL3647" t="str">
        <f t="shared" si="657"/>
        <v xml:space="preserve">NORM </v>
      </c>
      <c r="DM3647" t="str">
        <f t="shared" si="657"/>
        <v xml:space="preserve">NORM </v>
      </c>
      <c r="DN3647" t="str">
        <f t="shared" si="657"/>
        <v xml:space="preserve">NORM </v>
      </c>
      <c r="DO3647" t="str">
        <f t="shared" si="657"/>
        <v xml:space="preserve">NORM </v>
      </c>
      <c r="DP3647" t="str">
        <f t="shared" si="657"/>
        <v xml:space="preserve">NORM </v>
      </c>
      <c r="DQ3647" t="str">
        <f t="shared" si="657"/>
        <v xml:space="preserve">NORM </v>
      </c>
      <c r="DR3647" t="str">
        <f t="shared" si="657"/>
        <v xml:space="preserve">NORM </v>
      </c>
      <c r="DS3647" t="str">
        <f t="shared" si="657"/>
        <v xml:space="preserve">NORM </v>
      </c>
      <c r="DT3647" t="str">
        <f t="shared" si="657"/>
        <v xml:space="preserve">NORM </v>
      </c>
      <c r="DU3647" t="str">
        <f t="shared" si="657"/>
        <v xml:space="preserve">NORM </v>
      </c>
      <c r="DV3647" t="str">
        <f t="shared" si="657"/>
        <v xml:space="preserve">NORM </v>
      </c>
      <c r="DW3647" t="str">
        <f t="shared" si="657"/>
        <v xml:space="preserve">NORM </v>
      </c>
      <c r="DX3647" t="str">
        <f t="shared" si="657"/>
        <v xml:space="preserve">NORM </v>
      </c>
      <c r="DY3647" t="str">
        <f t="shared" si="657"/>
        <v xml:space="preserve">NORM </v>
      </c>
    </row>
    <row r="3648" spans="1:129">
      <c r="A3648" t="s">
        <v>3615</v>
      </c>
      <c r="B3648" t="str">
        <f t="shared" ref="B3648:AS3648" si="658">"On"</f>
        <v>On</v>
      </c>
      <c r="C3648" t="str">
        <f t="shared" si="658"/>
        <v>On</v>
      </c>
      <c r="D3648" t="str">
        <f t="shared" si="658"/>
        <v>On</v>
      </c>
      <c r="E3648" t="str">
        <f t="shared" si="658"/>
        <v>On</v>
      </c>
      <c r="F3648" t="str">
        <f t="shared" si="658"/>
        <v>On</v>
      </c>
      <c r="G3648" t="str">
        <f t="shared" si="658"/>
        <v>On</v>
      </c>
      <c r="H3648" t="str">
        <f t="shared" si="658"/>
        <v>On</v>
      </c>
      <c r="I3648" t="str">
        <f t="shared" si="658"/>
        <v>On</v>
      </c>
      <c r="J3648" t="str">
        <f t="shared" si="658"/>
        <v>On</v>
      </c>
      <c r="K3648" t="str">
        <f t="shared" si="658"/>
        <v>On</v>
      </c>
      <c r="L3648" t="str">
        <f t="shared" si="658"/>
        <v>On</v>
      </c>
      <c r="M3648" t="str">
        <f t="shared" si="658"/>
        <v>On</v>
      </c>
      <c r="N3648" t="str">
        <f t="shared" si="658"/>
        <v>On</v>
      </c>
      <c r="O3648" t="str">
        <f t="shared" si="658"/>
        <v>On</v>
      </c>
      <c r="P3648" t="str">
        <f t="shared" si="658"/>
        <v>On</v>
      </c>
      <c r="Q3648" t="str">
        <f t="shared" si="658"/>
        <v>On</v>
      </c>
      <c r="R3648" t="str">
        <f t="shared" si="658"/>
        <v>On</v>
      </c>
      <c r="S3648" t="str">
        <f t="shared" si="658"/>
        <v>On</v>
      </c>
      <c r="T3648" t="str">
        <f t="shared" si="658"/>
        <v>On</v>
      </c>
      <c r="U3648" t="str">
        <f t="shared" si="658"/>
        <v>On</v>
      </c>
      <c r="V3648" t="str">
        <f t="shared" si="658"/>
        <v>On</v>
      </c>
      <c r="W3648" t="str">
        <f t="shared" si="658"/>
        <v>On</v>
      </c>
      <c r="X3648" t="str">
        <f t="shared" si="658"/>
        <v>On</v>
      </c>
      <c r="Y3648" t="str">
        <f t="shared" si="658"/>
        <v>On</v>
      </c>
      <c r="Z3648" t="str">
        <f t="shared" si="658"/>
        <v>On</v>
      </c>
      <c r="AA3648" t="str">
        <f t="shared" si="658"/>
        <v>On</v>
      </c>
      <c r="AB3648" t="str">
        <f t="shared" si="658"/>
        <v>On</v>
      </c>
      <c r="AC3648" t="str">
        <f t="shared" si="658"/>
        <v>On</v>
      </c>
      <c r="AD3648" t="str">
        <f t="shared" si="658"/>
        <v>On</v>
      </c>
      <c r="AE3648" t="str">
        <f t="shared" si="658"/>
        <v>On</v>
      </c>
      <c r="AF3648" t="str">
        <f t="shared" si="658"/>
        <v>On</v>
      </c>
      <c r="AG3648" t="str">
        <f t="shared" si="658"/>
        <v>On</v>
      </c>
      <c r="AH3648" t="str">
        <f t="shared" si="658"/>
        <v>On</v>
      </c>
      <c r="AI3648" t="str">
        <f t="shared" si="658"/>
        <v>On</v>
      </c>
      <c r="AJ3648" t="str">
        <f t="shared" si="658"/>
        <v>On</v>
      </c>
      <c r="AK3648" t="str">
        <f t="shared" si="658"/>
        <v>On</v>
      </c>
      <c r="AL3648" t="str">
        <f t="shared" si="658"/>
        <v>On</v>
      </c>
      <c r="AM3648" t="str">
        <f t="shared" si="658"/>
        <v>On</v>
      </c>
      <c r="AN3648" t="str">
        <f t="shared" si="658"/>
        <v>On</v>
      </c>
      <c r="AO3648" t="str">
        <f t="shared" si="658"/>
        <v>On</v>
      </c>
      <c r="AP3648" t="str">
        <f t="shared" si="658"/>
        <v>On</v>
      </c>
      <c r="AQ3648" t="str">
        <f t="shared" si="658"/>
        <v>On</v>
      </c>
      <c r="AR3648" t="str">
        <f t="shared" si="658"/>
        <v>On</v>
      </c>
      <c r="AS3648" t="str">
        <f t="shared" si="658"/>
        <v>On</v>
      </c>
      <c r="AT3648" t="str">
        <f t="shared" ref="AT3648:BC3649" si="659">"Off"</f>
        <v>Off</v>
      </c>
      <c r="AU3648" t="str">
        <f t="shared" si="659"/>
        <v>Off</v>
      </c>
      <c r="AV3648" t="str">
        <f t="shared" si="659"/>
        <v>Off</v>
      </c>
      <c r="AW3648" t="str">
        <f t="shared" si="659"/>
        <v>Off</v>
      </c>
      <c r="AX3648" t="str">
        <f t="shared" si="659"/>
        <v>Off</v>
      </c>
      <c r="AY3648" t="str">
        <f t="shared" si="659"/>
        <v>Off</v>
      </c>
      <c r="AZ3648" t="str">
        <f t="shared" si="659"/>
        <v>Off</v>
      </c>
      <c r="BA3648" t="str">
        <f t="shared" si="659"/>
        <v>Off</v>
      </c>
      <c r="BB3648" t="str">
        <f t="shared" si="659"/>
        <v>Off</v>
      </c>
      <c r="BC3648" t="str">
        <f t="shared" si="659"/>
        <v>Off</v>
      </c>
      <c r="BD3648" t="str">
        <f t="shared" ref="BD3648:BM3649" si="660">"Off"</f>
        <v>Off</v>
      </c>
      <c r="BE3648" t="str">
        <f t="shared" si="660"/>
        <v>Off</v>
      </c>
      <c r="BF3648" t="str">
        <f t="shared" si="660"/>
        <v>Off</v>
      </c>
      <c r="BG3648" t="str">
        <f t="shared" si="660"/>
        <v>Off</v>
      </c>
      <c r="BH3648" t="str">
        <f t="shared" si="660"/>
        <v>Off</v>
      </c>
      <c r="BI3648" t="str">
        <f t="shared" si="660"/>
        <v>Off</v>
      </c>
      <c r="BJ3648" t="str">
        <f t="shared" si="660"/>
        <v>Off</v>
      </c>
      <c r="BK3648" t="str">
        <f t="shared" si="660"/>
        <v>Off</v>
      </c>
      <c r="BL3648" t="str">
        <f t="shared" si="660"/>
        <v>Off</v>
      </c>
      <c r="BM3648" t="str">
        <f t="shared" si="660"/>
        <v>Off</v>
      </c>
      <c r="BN3648" t="str">
        <f t="shared" ref="BN3648:BW3649" si="661">"Off"</f>
        <v>Off</v>
      </c>
      <c r="BO3648" t="str">
        <f t="shared" si="661"/>
        <v>Off</v>
      </c>
      <c r="BP3648" t="str">
        <f t="shared" si="661"/>
        <v>Off</v>
      </c>
      <c r="BQ3648" t="str">
        <f t="shared" si="661"/>
        <v>Off</v>
      </c>
      <c r="BR3648" t="str">
        <f t="shared" si="661"/>
        <v>Off</v>
      </c>
      <c r="BS3648" t="str">
        <f t="shared" si="661"/>
        <v>Off</v>
      </c>
      <c r="BT3648" t="str">
        <f t="shared" si="661"/>
        <v>Off</v>
      </c>
      <c r="BU3648" t="str">
        <f t="shared" si="661"/>
        <v>Off</v>
      </c>
      <c r="BV3648" t="str">
        <f t="shared" si="661"/>
        <v>Off</v>
      </c>
      <c r="BW3648" t="str">
        <f t="shared" si="661"/>
        <v>Off</v>
      </c>
      <c r="BX3648" t="str">
        <f t="shared" ref="BX3648:CG3649" si="662">"Off"</f>
        <v>Off</v>
      </c>
      <c r="BY3648" t="str">
        <f t="shared" si="662"/>
        <v>Off</v>
      </c>
      <c r="BZ3648" t="str">
        <f t="shared" si="662"/>
        <v>Off</v>
      </c>
      <c r="CA3648" t="str">
        <f t="shared" si="662"/>
        <v>Off</v>
      </c>
      <c r="CB3648" t="str">
        <f t="shared" si="662"/>
        <v>Off</v>
      </c>
      <c r="CC3648" t="str">
        <f t="shared" si="662"/>
        <v>Off</v>
      </c>
      <c r="CD3648" t="str">
        <f t="shared" si="662"/>
        <v>Off</v>
      </c>
      <c r="CE3648" t="str">
        <f t="shared" si="662"/>
        <v>Off</v>
      </c>
      <c r="CF3648" t="str">
        <f t="shared" si="662"/>
        <v>Off</v>
      </c>
      <c r="CG3648" t="str">
        <f t="shared" si="662"/>
        <v>Off</v>
      </c>
      <c r="CH3648" t="str">
        <f t="shared" ref="CH3648:CQ3649" si="663">"Off"</f>
        <v>Off</v>
      </c>
      <c r="CI3648" t="str">
        <f t="shared" si="663"/>
        <v>Off</v>
      </c>
      <c r="CJ3648" t="str">
        <f t="shared" si="663"/>
        <v>Off</v>
      </c>
      <c r="CK3648" t="str">
        <f t="shared" si="663"/>
        <v>Off</v>
      </c>
      <c r="CL3648" t="str">
        <f t="shared" si="663"/>
        <v>Off</v>
      </c>
      <c r="CM3648" t="str">
        <f t="shared" si="663"/>
        <v>Off</v>
      </c>
      <c r="CN3648" t="str">
        <f t="shared" si="663"/>
        <v>Off</v>
      </c>
      <c r="CO3648" t="str">
        <f t="shared" si="663"/>
        <v>Off</v>
      </c>
      <c r="CP3648" t="str">
        <f t="shared" si="663"/>
        <v>Off</v>
      </c>
      <c r="CQ3648" t="str">
        <f t="shared" si="663"/>
        <v>Off</v>
      </c>
      <c r="CR3648" t="str">
        <f t="shared" ref="CR3648:DA3649" si="664">"Off"</f>
        <v>Off</v>
      </c>
      <c r="CS3648" t="str">
        <f t="shared" si="664"/>
        <v>Off</v>
      </c>
      <c r="CT3648" t="str">
        <f t="shared" si="664"/>
        <v>Off</v>
      </c>
      <c r="CU3648" t="str">
        <f t="shared" si="664"/>
        <v>Off</v>
      </c>
      <c r="CV3648" t="str">
        <f t="shared" si="664"/>
        <v>Off</v>
      </c>
      <c r="CW3648" t="str">
        <f t="shared" si="664"/>
        <v>Off</v>
      </c>
      <c r="CX3648" t="str">
        <f t="shared" si="664"/>
        <v>Off</v>
      </c>
      <c r="CY3648" t="str">
        <f t="shared" si="664"/>
        <v>Off</v>
      </c>
      <c r="CZ3648" t="str">
        <f t="shared" si="664"/>
        <v>Off</v>
      </c>
      <c r="DA3648" t="str">
        <f t="shared" si="664"/>
        <v>Off</v>
      </c>
      <c r="DB3648" t="str">
        <f t="shared" ref="DB3648:DK3649" si="665">"Off"</f>
        <v>Off</v>
      </c>
      <c r="DC3648" t="str">
        <f t="shared" si="665"/>
        <v>Off</v>
      </c>
      <c r="DD3648" t="str">
        <f t="shared" si="665"/>
        <v>Off</v>
      </c>
      <c r="DE3648" t="str">
        <f t="shared" si="665"/>
        <v>Off</v>
      </c>
      <c r="DF3648" t="str">
        <f t="shared" si="665"/>
        <v>Off</v>
      </c>
      <c r="DG3648" t="str">
        <f t="shared" si="665"/>
        <v>Off</v>
      </c>
      <c r="DH3648" t="str">
        <f t="shared" si="665"/>
        <v>Off</v>
      </c>
      <c r="DI3648" t="str">
        <f t="shared" si="665"/>
        <v>Off</v>
      </c>
      <c r="DJ3648" t="str">
        <f t="shared" si="665"/>
        <v>Off</v>
      </c>
      <c r="DK3648" t="str">
        <f t="shared" si="665"/>
        <v>Off</v>
      </c>
      <c r="DL3648" t="str">
        <f t="shared" ref="DL3648:DY3649" si="666">"Off"</f>
        <v>Off</v>
      </c>
      <c r="DM3648" t="str">
        <f t="shared" si="666"/>
        <v>Off</v>
      </c>
      <c r="DN3648" t="str">
        <f t="shared" si="666"/>
        <v>Off</v>
      </c>
      <c r="DO3648" t="str">
        <f t="shared" si="666"/>
        <v>Off</v>
      </c>
      <c r="DP3648" t="str">
        <f t="shared" si="666"/>
        <v>Off</v>
      </c>
      <c r="DQ3648" t="str">
        <f t="shared" si="666"/>
        <v>Off</v>
      </c>
      <c r="DR3648" t="str">
        <f t="shared" si="666"/>
        <v>Off</v>
      </c>
      <c r="DS3648" t="str">
        <f t="shared" si="666"/>
        <v>Off</v>
      </c>
      <c r="DT3648" t="str">
        <f t="shared" si="666"/>
        <v>Off</v>
      </c>
      <c r="DU3648" t="str">
        <f t="shared" si="666"/>
        <v>Off</v>
      </c>
      <c r="DV3648" t="str">
        <f t="shared" si="666"/>
        <v>Off</v>
      </c>
      <c r="DW3648" t="str">
        <f t="shared" si="666"/>
        <v>Off</v>
      </c>
      <c r="DX3648" t="str">
        <f t="shared" si="666"/>
        <v>Off</v>
      </c>
      <c r="DY3648" t="str">
        <f t="shared" si="666"/>
        <v>Off</v>
      </c>
    </row>
    <row r="3649" spans="1:129">
      <c r="A3649" t="s">
        <v>3616</v>
      </c>
      <c r="B3649" t="str">
        <f t="shared" ref="B3649:AS3649" si="667">"Off"</f>
        <v>Off</v>
      </c>
      <c r="C3649" t="str">
        <f t="shared" si="667"/>
        <v>Off</v>
      </c>
      <c r="D3649" t="str">
        <f t="shared" si="667"/>
        <v>Off</v>
      </c>
      <c r="E3649" t="str">
        <f t="shared" si="667"/>
        <v>Off</v>
      </c>
      <c r="F3649" t="str">
        <f t="shared" si="667"/>
        <v>Off</v>
      </c>
      <c r="G3649" t="str">
        <f t="shared" si="667"/>
        <v>Off</v>
      </c>
      <c r="H3649" t="str">
        <f t="shared" si="667"/>
        <v>Off</v>
      </c>
      <c r="I3649" t="str">
        <f t="shared" si="667"/>
        <v>Off</v>
      </c>
      <c r="J3649" t="str">
        <f t="shared" si="667"/>
        <v>Off</v>
      </c>
      <c r="K3649" t="str">
        <f t="shared" si="667"/>
        <v>Off</v>
      </c>
      <c r="L3649" t="str">
        <f t="shared" si="667"/>
        <v>Off</v>
      </c>
      <c r="M3649" t="str">
        <f t="shared" si="667"/>
        <v>Off</v>
      </c>
      <c r="N3649" t="str">
        <f t="shared" si="667"/>
        <v>Off</v>
      </c>
      <c r="O3649" t="str">
        <f t="shared" si="667"/>
        <v>Off</v>
      </c>
      <c r="P3649" t="str">
        <f t="shared" si="667"/>
        <v>Off</v>
      </c>
      <c r="Q3649" t="str">
        <f t="shared" si="667"/>
        <v>Off</v>
      </c>
      <c r="R3649" t="str">
        <f t="shared" si="667"/>
        <v>Off</v>
      </c>
      <c r="S3649" t="str">
        <f t="shared" si="667"/>
        <v>Off</v>
      </c>
      <c r="T3649" t="str">
        <f t="shared" si="667"/>
        <v>Off</v>
      </c>
      <c r="U3649" t="str">
        <f t="shared" si="667"/>
        <v>Off</v>
      </c>
      <c r="V3649" t="str">
        <f t="shared" si="667"/>
        <v>Off</v>
      </c>
      <c r="W3649" t="str">
        <f t="shared" si="667"/>
        <v>Off</v>
      </c>
      <c r="X3649" t="str">
        <f t="shared" si="667"/>
        <v>Off</v>
      </c>
      <c r="Y3649" t="str">
        <f t="shared" si="667"/>
        <v>Off</v>
      </c>
      <c r="Z3649" t="str">
        <f t="shared" si="667"/>
        <v>Off</v>
      </c>
      <c r="AA3649" t="str">
        <f t="shared" si="667"/>
        <v>Off</v>
      </c>
      <c r="AB3649" t="str">
        <f t="shared" si="667"/>
        <v>Off</v>
      </c>
      <c r="AC3649" t="str">
        <f t="shared" si="667"/>
        <v>Off</v>
      </c>
      <c r="AD3649" t="str">
        <f t="shared" si="667"/>
        <v>Off</v>
      </c>
      <c r="AE3649" t="str">
        <f t="shared" si="667"/>
        <v>Off</v>
      </c>
      <c r="AF3649" t="str">
        <f t="shared" si="667"/>
        <v>Off</v>
      </c>
      <c r="AG3649" t="str">
        <f t="shared" si="667"/>
        <v>Off</v>
      </c>
      <c r="AH3649" t="str">
        <f t="shared" si="667"/>
        <v>Off</v>
      </c>
      <c r="AI3649" t="str">
        <f t="shared" si="667"/>
        <v>Off</v>
      </c>
      <c r="AJ3649" t="str">
        <f t="shared" si="667"/>
        <v>Off</v>
      </c>
      <c r="AK3649" t="str">
        <f t="shared" si="667"/>
        <v>Off</v>
      </c>
      <c r="AL3649" t="str">
        <f t="shared" si="667"/>
        <v>Off</v>
      </c>
      <c r="AM3649" t="str">
        <f t="shared" si="667"/>
        <v>Off</v>
      </c>
      <c r="AN3649" t="str">
        <f t="shared" si="667"/>
        <v>Off</v>
      </c>
      <c r="AO3649" t="str">
        <f t="shared" si="667"/>
        <v>Off</v>
      </c>
      <c r="AP3649" t="str">
        <f t="shared" si="667"/>
        <v>Off</v>
      </c>
      <c r="AQ3649" t="str">
        <f t="shared" si="667"/>
        <v>Off</v>
      </c>
      <c r="AR3649" t="str">
        <f t="shared" si="667"/>
        <v>Off</v>
      </c>
      <c r="AS3649" t="str">
        <f t="shared" si="667"/>
        <v>Off</v>
      </c>
      <c r="AT3649" t="str">
        <f t="shared" si="659"/>
        <v>Off</v>
      </c>
      <c r="AU3649" t="str">
        <f t="shared" si="659"/>
        <v>Off</v>
      </c>
      <c r="AV3649" t="str">
        <f t="shared" si="659"/>
        <v>Off</v>
      </c>
      <c r="AW3649" t="str">
        <f t="shared" si="659"/>
        <v>Off</v>
      </c>
      <c r="AX3649" t="str">
        <f t="shared" si="659"/>
        <v>Off</v>
      </c>
      <c r="AY3649" t="str">
        <f t="shared" si="659"/>
        <v>Off</v>
      </c>
      <c r="AZ3649" t="str">
        <f t="shared" si="659"/>
        <v>Off</v>
      </c>
      <c r="BA3649" t="str">
        <f t="shared" si="659"/>
        <v>Off</v>
      </c>
      <c r="BB3649" t="str">
        <f t="shared" si="659"/>
        <v>Off</v>
      </c>
      <c r="BC3649" t="str">
        <f t="shared" si="659"/>
        <v>Off</v>
      </c>
      <c r="BD3649" t="str">
        <f t="shared" si="660"/>
        <v>Off</v>
      </c>
      <c r="BE3649" t="str">
        <f t="shared" si="660"/>
        <v>Off</v>
      </c>
      <c r="BF3649" t="str">
        <f t="shared" si="660"/>
        <v>Off</v>
      </c>
      <c r="BG3649" t="str">
        <f t="shared" si="660"/>
        <v>Off</v>
      </c>
      <c r="BH3649" t="str">
        <f t="shared" si="660"/>
        <v>Off</v>
      </c>
      <c r="BI3649" t="str">
        <f t="shared" si="660"/>
        <v>Off</v>
      </c>
      <c r="BJ3649" t="str">
        <f t="shared" si="660"/>
        <v>Off</v>
      </c>
      <c r="BK3649" t="str">
        <f t="shared" si="660"/>
        <v>Off</v>
      </c>
      <c r="BL3649" t="str">
        <f t="shared" si="660"/>
        <v>Off</v>
      </c>
      <c r="BM3649" t="str">
        <f t="shared" si="660"/>
        <v>Off</v>
      </c>
      <c r="BN3649" t="str">
        <f t="shared" si="661"/>
        <v>Off</v>
      </c>
      <c r="BO3649" t="str">
        <f t="shared" si="661"/>
        <v>Off</v>
      </c>
      <c r="BP3649" t="str">
        <f t="shared" si="661"/>
        <v>Off</v>
      </c>
      <c r="BQ3649" t="str">
        <f t="shared" si="661"/>
        <v>Off</v>
      </c>
      <c r="BR3649" t="str">
        <f t="shared" si="661"/>
        <v>Off</v>
      </c>
      <c r="BS3649" t="str">
        <f t="shared" si="661"/>
        <v>Off</v>
      </c>
      <c r="BT3649" t="str">
        <f t="shared" si="661"/>
        <v>Off</v>
      </c>
      <c r="BU3649" t="str">
        <f t="shared" si="661"/>
        <v>Off</v>
      </c>
      <c r="BV3649" t="str">
        <f t="shared" si="661"/>
        <v>Off</v>
      </c>
      <c r="BW3649" t="str">
        <f t="shared" si="661"/>
        <v>Off</v>
      </c>
      <c r="BX3649" t="str">
        <f t="shared" si="662"/>
        <v>Off</v>
      </c>
      <c r="BY3649" t="str">
        <f t="shared" si="662"/>
        <v>Off</v>
      </c>
      <c r="BZ3649" t="str">
        <f t="shared" si="662"/>
        <v>Off</v>
      </c>
      <c r="CA3649" t="str">
        <f t="shared" si="662"/>
        <v>Off</v>
      </c>
      <c r="CB3649" t="str">
        <f t="shared" si="662"/>
        <v>Off</v>
      </c>
      <c r="CC3649" t="str">
        <f t="shared" si="662"/>
        <v>Off</v>
      </c>
      <c r="CD3649" t="str">
        <f t="shared" si="662"/>
        <v>Off</v>
      </c>
      <c r="CE3649" t="str">
        <f t="shared" si="662"/>
        <v>Off</v>
      </c>
      <c r="CF3649" t="str">
        <f t="shared" si="662"/>
        <v>Off</v>
      </c>
      <c r="CG3649" t="str">
        <f t="shared" si="662"/>
        <v>Off</v>
      </c>
      <c r="CH3649" t="str">
        <f t="shared" si="663"/>
        <v>Off</v>
      </c>
      <c r="CI3649" t="str">
        <f t="shared" si="663"/>
        <v>Off</v>
      </c>
      <c r="CJ3649" t="str">
        <f t="shared" si="663"/>
        <v>Off</v>
      </c>
      <c r="CK3649" t="str">
        <f t="shared" si="663"/>
        <v>Off</v>
      </c>
      <c r="CL3649" t="str">
        <f t="shared" si="663"/>
        <v>Off</v>
      </c>
      <c r="CM3649" t="str">
        <f t="shared" si="663"/>
        <v>Off</v>
      </c>
      <c r="CN3649" t="str">
        <f t="shared" si="663"/>
        <v>Off</v>
      </c>
      <c r="CO3649" t="str">
        <f t="shared" si="663"/>
        <v>Off</v>
      </c>
      <c r="CP3649" t="str">
        <f t="shared" si="663"/>
        <v>Off</v>
      </c>
      <c r="CQ3649" t="str">
        <f t="shared" si="663"/>
        <v>Off</v>
      </c>
      <c r="CR3649" t="str">
        <f t="shared" si="664"/>
        <v>Off</v>
      </c>
      <c r="CS3649" t="str">
        <f t="shared" si="664"/>
        <v>Off</v>
      </c>
      <c r="CT3649" t="str">
        <f t="shared" si="664"/>
        <v>Off</v>
      </c>
      <c r="CU3649" t="str">
        <f t="shared" si="664"/>
        <v>Off</v>
      </c>
      <c r="CV3649" t="str">
        <f t="shared" si="664"/>
        <v>Off</v>
      </c>
      <c r="CW3649" t="str">
        <f t="shared" si="664"/>
        <v>Off</v>
      </c>
      <c r="CX3649" t="str">
        <f t="shared" si="664"/>
        <v>Off</v>
      </c>
      <c r="CY3649" t="str">
        <f t="shared" si="664"/>
        <v>Off</v>
      </c>
      <c r="CZ3649" t="str">
        <f t="shared" si="664"/>
        <v>Off</v>
      </c>
      <c r="DA3649" t="str">
        <f t="shared" si="664"/>
        <v>Off</v>
      </c>
      <c r="DB3649" t="str">
        <f t="shared" si="665"/>
        <v>Off</v>
      </c>
      <c r="DC3649" t="str">
        <f t="shared" si="665"/>
        <v>Off</v>
      </c>
      <c r="DD3649" t="str">
        <f t="shared" si="665"/>
        <v>Off</v>
      </c>
      <c r="DE3649" t="str">
        <f t="shared" si="665"/>
        <v>Off</v>
      </c>
      <c r="DF3649" t="str">
        <f t="shared" si="665"/>
        <v>Off</v>
      </c>
      <c r="DG3649" t="str">
        <f t="shared" si="665"/>
        <v>Off</v>
      </c>
      <c r="DH3649" t="str">
        <f t="shared" si="665"/>
        <v>Off</v>
      </c>
      <c r="DI3649" t="str">
        <f t="shared" si="665"/>
        <v>Off</v>
      </c>
      <c r="DJ3649" t="str">
        <f t="shared" si="665"/>
        <v>Off</v>
      </c>
      <c r="DK3649" t="str">
        <f t="shared" si="665"/>
        <v>Off</v>
      </c>
      <c r="DL3649" t="str">
        <f t="shared" si="666"/>
        <v>Off</v>
      </c>
      <c r="DM3649" t="str">
        <f t="shared" si="666"/>
        <v>Off</v>
      </c>
      <c r="DN3649" t="str">
        <f t="shared" si="666"/>
        <v>Off</v>
      </c>
      <c r="DO3649" t="str">
        <f t="shared" si="666"/>
        <v>Off</v>
      </c>
      <c r="DP3649" t="str">
        <f t="shared" si="666"/>
        <v>Off</v>
      </c>
      <c r="DQ3649" t="str">
        <f t="shared" si="666"/>
        <v>Off</v>
      </c>
      <c r="DR3649" t="str">
        <f t="shared" si="666"/>
        <v>Off</v>
      </c>
      <c r="DS3649" t="str">
        <f t="shared" si="666"/>
        <v>Off</v>
      </c>
      <c r="DT3649" t="str">
        <f t="shared" si="666"/>
        <v>Off</v>
      </c>
      <c r="DU3649" t="str">
        <f t="shared" si="666"/>
        <v>Off</v>
      </c>
      <c r="DV3649" t="str">
        <f t="shared" si="666"/>
        <v>Off</v>
      </c>
      <c r="DW3649" t="str">
        <f t="shared" si="666"/>
        <v>Off</v>
      </c>
      <c r="DX3649" t="str">
        <f t="shared" si="666"/>
        <v>Off</v>
      </c>
      <c r="DY3649" t="str">
        <f t="shared" si="666"/>
        <v>Off</v>
      </c>
    </row>
    <row r="3650" spans="1:129">
      <c r="A3650" t="s">
        <v>3617</v>
      </c>
      <c r="B3650">
        <v>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v>0</v>
      </c>
      <c r="BH3650">
        <v>0</v>
      </c>
      <c r="BI3650">
        <v>0</v>
      </c>
      <c r="BJ3650">
        <v>0</v>
      </c>
      <c r="BK3650">
        <v>0</v>
      </c>
      <c r="BL3650">
        <v>0</v>
      </c>
      <c r="BM3650">
        <v>0</v>
      </c>
      <c r="BN3650">
        <v>0</v>
      </c>
      <c r="BO3650">
        <v>0</v>
      </c>
      <c r="BP3650">
        <v>0</v>
      </c>
      <c r="BQ3650">
        <v>0</v>
      </c>
      <c r="BR3650">
        <v>0</v>
      </c>
      <c r="BS3650">
        <v>0</v>
      </c>
      <c r="BT3650">
        <v>0</v>
      </c>
      <c r="BU3650">
        <v>0</v>
      </c>
      <c r="BV3650">
        <v>0</v>
      </c>
      <c r="BW3650">
        <v>0</v>
      </c>
      <c r="BX3650">
        <v>0</v>
      </c>
      <c r="BY3650">
        <v>0</v>
      </c>
      <c r="BZ3650">
        <v>0</v>
      </c>
      <c r="CA3650">
        <v>0</v>
      </c>
      <c r="CB3650">
        <v>0</v>
      </c>
      <c r="CC3650">
        <v>0</v>
      </c>
      <c r="CD3650">
        <v>0</v>
      </c>
      <c r="CE3650">
        <v>0</v>
      </c>
      <c r="CF3650">
        <v>0</v>
      </c>
      <c r="CG3650">
        <v>0</v>
      </c>
      <c r="CH3650">
        <v>0</v>
      </c>
      <c r="CI3650">
        <v>0</v>
      </c>
      <c r="CJ3650">
        <v>0</v>
      </c>
      <c r="CK3650">
        <v>0</v>
      </c>
      <c r="CL3650">
        <v>0</v>
      </c>
      <c r="CM3650">
        <v>0</v>
      </c>
      <c r="CN3650">
        <v>0</v>
      </c>
      <c r="CO3650">
        <v>0</v>
      </c>
      <c r="CP3650">
        <v>0</v>
      </c>
      <c r="CQ3650">
        <v>0</v>
      </c>
      <c r="CR3650">
        <v>0</v>
      </c>
      <c r="CS3650">
        <v>0</v>
      </c>
      <c r="CT3650">
        <v>0</v>
      </c>
      <c r="CU3650">
        <v>0</v>
      </c>
      <c r="CV3650">
        <v>0</v>
      </c>
      <c r="CW3650">
        <v>0</v>
      </c>
      <c r="CX3650">
        <v>0</v>
      </c>
      <c r="CY3650">
        <v>0</v>
      </c>
      <c r="CZ3650">
        <v>0</v>
      </c>
      <c r="DA3650">
        <v>0</v>
      </c>
      <c r="DB3650">
        <v>0</v>
      </c>
      <c r="DC3650">
        <v>0</v>
      </c>
      <c r="DD3650">
        <v>0</v>
      </c>
      <c r="DE3650">
        <v>0</v>
      </c>
      <c r="DF3650">
        <v>0</v>
      </c>
      <c r="DG3650">
        <v>0</v>
      </c>
      <c r="DH3650">
        <v>0</v>
      </c>
      <c r="DI3650">
        <v>0</v>
      </c>
      <c r="DJ3650">
        <v>0</v>
      </c>
      <c r="DK3650">
        <v>0</v>
      </c>
      <c r="DL3650">
        <v>0</v>
      </c>
      <c r="DM3650">
        <v>0</v>
      </c>
      <c r="DN3650">
        <v>0</v>
      </c>
      <c r="DO3650">
        <v>0</v>
      </c>
      <c r="DP3650">
        <v>0</v>
      </c>
      <c r="DQ3650">
        <v>0</v>
      </c>
      <c r="DR3650">
        <v>0</v>
      </c>
      <c r="DS3650">
        <v>0</v>
      </c>
      <c r="DT3650">
        <v>0</v>
      </c>
      <c r="DU3650">
        <v>0</v>
      </c>
      <c r="DV3650">
        <v>0</v>
      </c>
      <c r="DW3650">
        <v>0</v>
      </c>
      <c r="DX3650">
        <v>0</v>
      </c>
      <c r="DY3650">
        <v>0</v>
      </c>
    </row>
    <row r="3651" spans="1:129">
      <c r="A3651" t="s">
        <v>3618</v>
      </c>
      <c r="B3651" t="str">
        <f t="shared" ref="B3651:AS3651" si="668">"On"</f>
        <v>On</v>
      </c>
      <c r="C3651" t="str">
        <f t="shared" si="668"/>
        <v>On</v>
      </c>
      <c r="D3651" t="str">
        <f t="shared" si="668"/>
        <v>On</v>
      </c>
      <c r="E3651" t="str">
        <f t="shared" si="668"/>
        <v>On</v>
      </c>
      <c r="F3651" t="str">
        <f t="shared" si="668"/>
        <v>On</v>
      </c>
      <c r="G3651" t="str">
        <f t="shared" si="668"/>
        <v>On</v>
      </c>
      <c r="H3651" t="str">
        <f t="shared" si="668"/>
        <v>On</v>
      </c>
      <c r="I3651" t="str">
        <f t="shared" si="668"/>
        <v>On</v>
      </c>
      <c r="J3651" t="str">
        <f t="shared" si="668"/>
        <v>On</v>
      </c>
      <c r="K3651" t="str">
        <f t="shared" si="668"/>
        <v>On</v>
      </c>
      <c r="L3651" t="str">
        <f t="shared" si="668"/>
        <v>On</v>
      </c>
      <c r="M3651" t="str">
        <f t="shared" si="668"/>
        <v>On</v>
      </c>
      <c r="N3651" t="str">
        <f t="shared" si="668"/>
        <v>On</v>
      </c>
      <c r="O3651" t="str">
        <f t="shared" si="668"/>
        <v>On</v>
      </c>
      <c r="P3651" t="str">
        <f t="shared" si="668"/>
        <v>On</v>
      </c>
      <c r="Q3651" t="str">
        <f t="shared" si="668"/>
        <v>On</v>
      </c>
      <c r="R3651" t="str">
        <f t="shared" si="668"/>
        <v>On</v>
      </c>
      <c r="S3651" t="str">
        <f t="shared" si="668"/>
        <v>On</v>
      </c>
      <c r="T3651" t="str">
        <f t="shared" si="668"/>
        <v>On</v>
      </c>
      <c r="U3651" t="str">
        <f t="shared" si="668"/>
        <v>On</v>
      </c>
      <c r="V3651" t="str">
        <f t="shared" si="668"/>
        <v>On</v>
      </c>
      <c r="W3651" t="str">
        <f t="shared" si="668"/>
        <v>On</v>
      </c>
      <c r="X3651" t="str">
        <f t="shared" si="668"/>
        <v>On</v>
      </c>
      <c r="Y3651" t="str">
        <f t="shared" si="668"/>
        <v>On</v>
      </c>
      <c r="Z3651" t="str">
        <f t="shared" si="668"/>
        <v>On</v>
      </c>
      <c r="AA3651" t="str">
        <f t="shared" si="668"/>
        <v>On</v>
      </c>
      <c r="AB3651" t="str">
        <f t="shared" si="668"/>
        <v>On</v>
      </c>
      <c r="AC3651" t="str">
        <f t="shared" si="668"/>
        <v>On</v>
      </c>
      <c r="AD3651" t="str">
        <f t="shared" si="668"/>
        <v>On</v>
      </c>
      <c r="AE3651" t="str">
        <f t="shared" si="668"/>
        <v>On</v>
      </c>
      <c r="AF3651" t="str">
        <f t="shared" si="668"/>
        <v>On</v>
      </c>
      <c r="AG3651" t="str">
        <f t="shared" si="668"/>
        <v>On</v>
      </c>
      <c r="AH3651" t="str">
        <f t="shared" si="668"/>
        <v>On</v>
      </c>
      <c r="AI3651" t="str">
        <f t="shared" si="668"/>
        <v>On</v>
      </c>
      <c r="AJ3651" t="str">
        <f t="shared" si="668"/>
        <v>On</v>
      </c>
      <c r="AK3651" t="str">
        <f t="shared" si="668"/>
        <v>On</v>
      </c>
      <c r="AL3651" t="str">
        <f t="shared" si="668"/>
        <v>On</v>
      </c>
      <c r="AM3651" t="str">
        <f t="shared" si="668"/>
        <v>On</v>
      </c>
      <c r="AN3651" t="str">
        <f t="shared" si="668"/>
        <v>On</v>
      </c>
      <c r="AO3651" t="str">
        <f t="shared" si="668"/>
        <v>On</v>
      </c>
      <c r="AP3651" t="str">
        <f t="shared" si="668"/>
        <v>On</v>
      </c>
      <c r="AQ3651" t="str">
        <f t="shared" si="668"/>
        <v>On</v>
      </c>
      <c r="AR3651" t="str">
        <f t="shared" si="668"/>
        <v>On</v>
      </c>
      <c r="AS3651" t="str">
        <f t="shared" si="668"/>
        <v>On</v>
      </c>
      <c r="AT3651" t="str">
        <f t="shared" ref="AT3651:BY3651" si="669">"Off"</f>
        <v>Off</v>
      </c>
      <c r="AU3651" t="str">
        <f t="shared" si="669"/>
        <v>Off</v>
      </c>
      <c r="AV3651" t="str">
        <f t="shared" si="669"/>
        <v>Off</v>
      </c>
      <c r="AW3651" t="str">
        <f t="shared" si="669"/>
        <v>Off</v>
      </c>
      <c r="AX3651" t="str">
        <f t="shared" si="669"/>
        <v>Off</v>
      </c>
      <c r="AY3651" t="str">
        <f t="shared" si="669"/>
        <v>Off</v>
      </c>
      <c r="AZ3651" t="str">
        <f t="shared" si="669"/>
        <v>Off</v>
      </c>
      <c r="BA3651" t="str">
        <f t="shared" si="669"/>
        <v>Off</v>
      </c>
      <c r="BB3651" t="str">
        <f t="shared" si="669"/>
        <v>Off</v>
      </c>
      <c r="BC3651" t="str">
        <f t="shared" si="669"/>
        <v>Off</v>
      </c>
      <c r="BD3651" t="str">
        <f t="shared" si="669"/>
        <v>Off</v>
      </c>
      <c r="BE3651" t="str">
        <f t="shared" si="669"/>
        <v>Off</v>
      </c>
      <c r="BF3651" t="str">
        <f t="shared" si="669"/>
        <v>Off</v>
      </c>
      <c r="BG3651" t="str">
        <f t="shared" si="669"/>
        <v>Off</v>
      </c>
      <c r="BH3651" t="str">
        <f t="shared" si="669"/>
        <v>Off</v>
      </c>
      <c r="BI3651" t="str">
        <f t="shared" si="669"/>
        <v>Off</v>
      </c>
      <c r="BJ3651" t="str">
        <f t="shared" si="669"/>
        <v>Off</v>
      </c>
      <c r="BK3651" t="str">
        <f t="shared" si="669"/>
        <v>Off</v>
      </c>
      <c r="BL3651" t="str">
        <f t="shared" si="669"/>
        <v>Off</v>
      </c>
      <c r="BM3651" t="str">
        <f t="shared" si="669"/>
        <v>Off</v>
      </c>
      <c r="BN3651" t="str">
        <f t="shared" si="669"/>
        <v>Off</v>
      </c>
      <c r="BO3651" t="str">
        <f t="shared" si="669"/>
        <v>Off</v>
      </c>
      <c r="BP3651" t="str">
        <f t="shared" si="669"/>
        <v>Off</v>
      </c>
      <c r="BQ3651" t="str">
        <f t="shared" si="669"/>
        <v>Off</v>
      </c>
      <c r="BR3651" t="str">
        <f t="shared" si="669"/>
        <v>Off</v>
      </c>
      <c r="BS3651" t="str">
        <f t="shared" si="669"/>
        <v>Off</v>
      </c>
      <c r="BT3651" t="str">
        <f t="shared" si="669"/>
        <v>Off</v>
      </c>
      <c r="BU3651" t="str">
        <f t="shared" si="669"/>
        <v>Off</v>
      </c>
      <c r="BV3651" t="str">
        <f t="shared" si="669"/>
        <v>Off</v>
      </c>
      <c r="BW3651" t="str">
        <f t="shared" si="669"/>
        <v>Off</v>
      </c>
      <c r="BX3651" t="str">
        <f t="shared" si="669"/>
        <v>Off</v>
      </c>
      <c r="BY3651" t="str">
        <f t="shared" si="669"/>
        <v>Off</v>
      </c>
      <c r="BZ3651" t="str">
        <f t="shared" ref="BZ3651:DE3651" si="670">"Off"</f>
        <v>Off</v>
      </c>
      <c r="CA3651" t="str">
        <f t="shared" si="670"/>
        <v>Off</v>
      </c>
      <c r="CB3651" t="str">
        <f t="shared" si="670"/>
        <v>Off</v>
      </c>
      <c r="CC3651" t="str">
        <f t="shared" si="670"/>
        <v>Off</v>
      </c>
      <c r="CD3651" t="str">
        <f t="shared" si="670"/>
        <v>Off</v>
      </c>
      <c r="CE3651" t="str">
        <f t="shared" si="670"/>
        <v>Off</v>
      </c>
      <c r="CF3651" t="str">
        <f t="shared" si="670"/>
        <v>Off</v>
      </c>
      <c r="CG3651" t="str">
        <f t="shared" si="670"/>
        <v>Off</v>
      </c>
      <c r="CH3651" t="str">
        <f t="shared" si="670"/>
        <v>Off</v>
      </c>
      <c r="CI3651" t="str">
        <f t="shared" si="670"/>
        <v>Off</v>
      </c>
      <c r="CJ3651" t="str">
        <f t="shared" si="670"/>
        <v>Off</v>
      </c>
      <c r="CK3651" t="str">
        <f t="shared" si="670"/>
        <v>Off</v>
      </c>
      <c r="CL3651" t="str">
        <f t="shared" si="670"/>
        <v>Off</v>
      </c>
      <c r="CM3651" t="str">
        <f t="shared" si="670"/>
        <v>Off</v>
      </c>
      <c r="CN3651" t="str">
        <f t="shared" si="670"/>
        <v>Off</v>
      </c>
      <c r="CO3651" t="str">
        <f t="shared" si="670"/>
        <v>Off</v>
      </c>
      <c r="CP3651" t="str">
        <f t="shared" si="670"/>
        <v>Off</v>
      </c>
      <c r="CQ3651" t="str">
        <f t="shared" si="670"/>
        <v>Off</v>
      </c>
      <c r="CR3651" t="str">
        <f t="shared" si="670"/>
        <v>Off</v>
      </c>
      <c r="CS3651" t="str">
        <f t="shared" si="670"/>
        <v>Off</v>
      </c>
      <c r="CT3651" t="str">
        <f t="shared" si="670"/>
        <v>Off</v>
      </c>
      <c r="CU3651" t="str">
        <f t="shared" si="670"/>
        <v>Off</v>
      </c>
      <c r="CV3651" t="str">
        <f t="shared" si="670"/>
        <v>Off</v>
      </c>
      <c r="CW3651" t="str">
        <f t="shared" si="670"/>
        <v>Off</v>
      </c>
      <c r="CX3651" t="str">
        <f t="shared" si="670"/>
        <v>Off</v>
      </c>
      <c r="CY3651" t="str">
        <f t="shared" si="670"/>
        <v>Off</v>
      </c>
      <c r="CZ3651" t="str">
        <f t="shared" si="670"/>
        <v>Off</v>
      </c>
      <c r="DA3651" t="str">
        <f t="shared" si="670"/>
        <v>Off</v>
      </c>
      <c r="DB3651" t="str">
        <f t="shared" si="670"/>
        <v>Off</v>
      </c>
      <c r="DC3651" t="str">
        <f t="shared" si="670"/>
        <v>Off</v>
      </c>
      <c r="DD3651" t="str">
        <f t="shared" si="670"/>
        <v>Off</v>
      </c>
      <c r="DE3651" t="str">
        <f t="shared" si="670"/>
        <v>Off</v>
      </c>
      <c r="DF3651" t="str">
        <f t="shared" ref="DF3651:DY3651" si="671">"Off"</f>
        <v>Off</v>
      </c>
      <c r="DG3651" t="str">
        <f t="shared" si="671"/>
        <v>Off</v>
      </c>
      <c r="DH3651" t="str">
        <f t="shared" si="671"/>
        <v>Off</v>
      </c>
      <c r="DI3651" t="str">
        <f t="shared" si="671"/>
        <v>Off</v>
      </c>
      <c r="DJ3651" t="str">
        <f t="shared" si="671"/>
        <v>Off</v>
      </c>
      <c r="DK3651" t="str">
        <f t="shared" si="671"/>
        <v>Off</v>
      </c>
      <c r="DL3651" t="str">
        <f t="shared" si="671"/>
        <v>Off</v>
      </c>
      <c r="DM3651" t="str">
        <f t="shared" si="671"/>
        <v>Off</v>
      </c>
      <c r="DN3651" t="str">
        <f t="shared" si="671"/>
        <v>Off</v>
      </c>
      <c r="DO3651" t="str">
        <f t="shared" si="671"/>
        <v>Off</v>
      </c>
      <c r="DP3651" t="str">
        <f t="shared" si="671"/>
        <v>Off</v>
      </c>
      <c r="DQ3651" t="str">
        <f t="shared" si="671"/>
        <v>Off</v>
      </c>
      <c r="DR3651" t="str">
        <f t="shared" si="671"/>
        <v>Off</v>
      </c>
      <c r="DS3651" t="str">
        <f t="shared" si="671"/>
        <v>Off</v>
      </c>
      <c r="DT3651" t="str">
        <f t="shared" si="671"/>
        <v>Off</v>
      </c>
      <c r="DU3651" t="str">
        <f t="shared" si="671"/>
        <v>Off</v>
      </c>
      <c r="DV3651" t="str">
        <f t="shared" si="671"/>
        <v>Off</v>
      </c>
      <c r="DW3651" t="str">
        <f t="shared" si="671"/>
        <v>Off</v>
      </c>
      <c r="DX3651" t="str">
        <f t="shared" si="671"/>
        <v>Off</v>
      </c>
      <c r="DY3651" t="str">
        <f t="shared" si="671"/>
        <v>Off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G7:N14"/>
  <sheetViews>
    <sheetView workbookViewId="0">
      <selection activeCell="K14" sqref="K14"/>
    </sheetView>
  </sheetViews>
  <sheetFormatPr defaultRowHeight="13.2"/>
  <sheetData>
    <row r="7" spans="7:14">
      <c r="M7" s="2">
        <v>0</v>
      </c>
      <c r="N7" s="450" t="s">
        <v>107</v>
      </c>
    </row>
    <row r="8" spans="7:14">
      <c r="G8" s="2">
        <v>0</v>
      </c>
      <c r="H8" s="2">
        <v>1</v>
      </c>
      <c r="I8" s="2">
        <v>2</v>
      </c>
      <c r="J8" s="2">
        <v>3</v>
      </c>
      <c r="M8" s="2">
        <v>1</v>
      </c>
      <c r="N8" s="450" t="s">
        <v>3982</v>
      </c>
    </row>
    <row r="9" spans="7:14">
      <c r="G9" s="450" t="s">
        <v>107</v>
      </c>
      <c r="H9" s="450" t="s">
        <v>3982</v>
      </c>
      <c r="I9" s="450" t="s">
        <v>3983</v>
      </c>
      <c r="J9" s="450" t="s">
        <v>3984</v>
      </c>
      <c r="M9" s="2">
        <v>2</v>
      </c>
      <c r="N9" s="450" t="s">
        <v>3983</v>
      </c>
    </row>
    <row r="10" spans="7:14">
      <c r="M10" s="2">
        <v>3</v>
      </c>
      <c r="N10" s="450" t="s">
        <v>3984</v>
      </c>
    </row>
    <row r="11" spans="7:14">
      <c r="M11" s="2">
        <v>3</v>
      </c>
    </row>
    <row r="12" spans="7:14">
      <c r="M12" s="79" t="str">
        <f>VLOOKUP(M11,M7:N10,2,FALSE)</f>
        <v>Trans</v>
      </c>
    </row>
    <row r="14" spans="7:14">
      <c r="K14" t="str">
        <f>LOOKUP(M11,M7:N10)</f>
        <v>Trans</v>
      </c>
    </row>
  </sheetData>
  <pageMargins left="0.7" right="0.7" top="0.75" bottom="0.75" header="0.3" footer="0.3"/>
  <pageSetup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9"/>
  </sheetPr>
  <dimension ref="A1:AI111"/>
  <sheetViews>
    <sheetView zoomScale="80" zoomScaleNormal="80" workbookViewId="0">
      <selection activeCell="B22" sqref="B22:C48"/>
    </sheetView>
  </sheetViews>
  <sheetFormatPr defaultRowHeight="13.2"/>
  <cols>
    <col min="2" max="2" width="3" customWidth="1"/>
    <col min="3" max="3" width="10.44140625" customWidth="1"/>
    <col min="4" max="4" width="4.109375" style="44" customWidth="1"/>
    <col min="5" max="5" width="3.44140625" bestFit="1" customWidth="1"/>
    <col min="6" max="6" width="2.88671875" bestFit="1" customWidth="1"/>
    <col min="7" max="7" width="4" bestFit="1" customWidth="1"/>
    <col min="8" max="8" width="3.44140625" bestFit="1" customWidth="1"/>
    <col min="9" max="9" width="4.33203125" style="44" customWidth="1"/>
    <col min="10" max="10" width="5.44140625" bestFit="1" customWidth="1"/>
    <col min="11" max="20" width="4.6640625" customWidth="1"/>
    <col min="21" max="21" width="4" style="44" customWidth="1"/>
    <col min="22" max="24" width="4.6640625" customWidth="1"/>
    <col min="25" max="28" width="3.5546875" customWidth="1"/>
    <col min="29" max="29" width="4.6640625" customWidth="1"/>
    <col min="30" max="30" width="6.33203125" bestFit="1" customWidth="1"/>
    <col min="31" max="31" width="4.109375" bestFit="1" customWidth="1"/>
    <col min="32" max="32" width="4.109375" customWidth="1"/>
    <col min="33" max="34" width="4.6640625" customWidth="1"/>
    <col min="35" max="35" width="5.5546875" customWidth="1"/>
    <col min="36" max="37" width="4.6640625" customWidth="1"/>
  </cols>
  <sheetData>
    <row r="1" spans="1:35" ht="13.8" thickBot="1">
      <c r="A1" s="1807" t="s">
        <v>715</v>
      </c>
      <c r="B1" s="1808"/>
      <c r="C1" s="1808"/>
      <c r="D1" s="1803" t="s">
        <v>211</v>
      </c>
      <c r="E1" s="1804"/>
      <c r="F1" s="1804"/>
      <c r="G1" s="1804"/>
      <c r="H1" s="1805"/>
      <c r="I1" s="1803" t="s">
        <v>212</v>
      </c>
      <c r="J1" s="1804"/>
      <c r="K1" s="1804"/>
      <c r="L1" s="1804"/>
      <c r="M1" s="1804"/>
      <c r="N1" s="1804"/>
      <c r="O1" s="1804"/>
      <c r="P1" s="1804"/>
      <c r="Q1" s="1804"/>
      <c r="R1" s="1804"/>
      <c r="S1" s="1804"/>
      <c r="T1" s="1805"/>
      <c r="U1" s="1119" t="s">
        <v>213</v>
      </c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1"/>
    </row>
    <row r="2" spans="1:35" ht="27" customHeight="1" thickBot="1">
      <c r="A2" s="1809"/>
      <c r="B2" s="1810"/>
      <c r="C2" s="1810"/>
      <c r="D2" s="165" t="s">
        <v>214</v>
      </c>
      <c r="E2" s="327" t="s">
        <v>215</v>
      </c>
      <c r="F2" s="327" t="s">
        <v>107</v>
      </c>
      <c r="G2" s="327" t="s">
        <v>216</v>
      </c>
      <c r="H2" s="328" t="s">
        <v>56</v>
      </c>
      <c r="I2" s="165" t="s">
        <v>216</v>
      </c>
      <c r="J2" s="166" t="s">
        <v>217</v>
      </c>
      <c r="K2" s="43">
        <v>1</v>
      </c>
      <c r="L2" s="43">
        <v>2</v>
      </c>
      <c r="M2" s="43">
        <v>3</v>
      </c>
      <c r="N2" s="43">
        <v>4</v>
      </c>
      <c r="O2" s="43">
        <v>5</v>
      </c>
      <c r="P2" s="43">
        <v>6</v>
      </c>
      <c r="Q2" s="43">
        <v>7</v>
      </c>
      <c r="R2" s="1111">
        <v>8</v>
      </c>
      <c r="S2" s="1117">
        <v>9</v>
      </c>
      <c r="T2" s="1118">
        <v>10</v>
      </c>
      <c r="U2" s="1120" t="s">
        <v>214</v>
      </c>
      <c r="V2" s="168" t="s">
        <v>18</v>
      </c>
      <c r="W2" s="25" t="s">
        <v>15</v>
      </c>
      <c r="X2" s="167" t="s">
        <v>14</v>
      </c>
      <c r="Y2" s="1817" t="s">
        <v>218</v>
      </c>
      <c r="Z2" s="1818"/>
      <c r="AA2" s="1819"/>
      <c r="AB2" s="1820"/>
      <c r="AC2" s="168" t="s">
        <v>219</v>
      </c>
      <c r="AD2" s="25" t="s">
        <v>16</v>
      </c>
      <c r="AE2" s="329" t="s">
        <v>17</v>
      </c>
      <c r="AF2" s="25" t="s">
        <v>4</v>
      </c>
      <c r="AG2" s="1274" t="s">
        <v>3975</v>
      </c>
      <c r="AH2" s="1275" t="s">
        <v>3976</v>
      </c>
      <c r="AI2" s="562" t="s">
        <v>2410</v>
      </c>
    </row>
    <row r="3" spans="1:35" ht="13.8" thickTop="1">
      <c r="A3" s="563" t="s">
        <v>220</v>
      </c>
      <c r="B3" s="1947">
        <f>VLOOKUP("Test OpMode",Data!$A:$B,2,FALSE)</f>
        <v>0</v>
      </c>
      <c r="C3" s="1948"/>
      <c r="D3" s="1689">
        <v>1</v>
      </c>
      <c r="E3" s="1821">
        <f>VLOOKUP("Cycle Time",Data!$A:$Y,2,FALSE)</f>
        <v>0</v>
      </c>
      <c r="F3" s="1822">
        <f>VLOOKUP("Offset Time",Data!$A:$Y,2,FALSE)</f>
        <v>0</v>
      </c>
      <c r="G3" s="1822">
        <f>VLOOKUP("Split Number",Data!$A:$Y,2,FALSE)</f>
        <v>1</v>
      </c>
      <c r="H3" s="1823">
        <f>VLOOKUP("Seq Number",Data!$A:$Y,2,FALSE)</f>
        <v>1</v>
      </c>
      <c r="I3" s="1689">
        <v>1</v>
      </c>
      <c r="J3" s="164" t="s">
        <v>216</v>
      </c>
      <c r="K3" s="667">
        <f>VLOOKUP("Time",Data!$A$2391:$K$2391,2,FALSE)</f>
        <v>0</v>
      </c>
      <c r="L3" s="668">
        <f>VLOOKUP("Time",Data!$A$2391:$K$2391,3,FALSE)</f>
        <v>0</v>
      </c>
      <c r="M3" s="668">
        <f>VLOOKUP("Time",Data!$A$2391:$K$2391,4,FALSE)</f>
        <v>0</v>
      </c>
      <c r="N3" s="668">
        <f>VLOOKUP("Time",Data!$A$2391:$K$2391,5,FALSE)</f>
        <v>0</v>
      </c>
      <c r="O3" s="668">
        <f>VLOOKUP("Time",Data!$A$2391:$K$2391,6,FALSE)</f>
        <v>0</v>
      </c>
      <c r="P3" s="668">
        <f>VLOOKUP("Time",Data!$A$2391:$K$2391,7,FALSE)</f>
        <v>0</v>
      </c>
      <c r="Q3" s="668">
        <f>VLOOKUP("Time",Data!$A$2391:$K$2391,8,FALSE)</f>
        <v>0</v>
      </c>
      <c r="R3" s="1112">
        <f>VLOOKUP("Time",Data!$A$2391:$K$2391,9,FALSE)</f>
        <v>0</v>
      </c>
      <c r="S3" s="1112">
        <f>VLOOKUP("Time",Data!$A$2391:$K$2391,10,FALSE)</f>
        <v>0</v>
      </c>
      <c r="T3" s="1112">
        <f>VLOOKUP("Time",Data!$A$2391:$K$2391,11,FALSE)</f>
        <v>0</v>
      </c>
      <c r="U3" s="1751">
        <v>1</v>
      </c>
      <c r="V3" s="1858">
        <f>VLOOKUP("Short",Data!$A$1282:$AG$1282,2,FALSE)</f>
        <v>10</v>
      </c>
      <c r="W3" s="1859">
        <f>VLOOKUP("Long",Data!$A$1260:$AG1260,2,FALSE)</f>
        <v>25</v>
      </c>
      <c r="X3" s="1862">
        <f>VLOOKUP("Dwell",Data!$A$1256:$AG1256,2,FALSE)</f>
        <v>0</v>
      </c>
      <c r="Y3" s="1865">
        <f>VLOOKUP("No Short P 1",Data!$A$1265:$AG1265,2,FALSE)</f>
        <v>0</v>
      </c>
      <c r="Z3" s="1853">
        <f>VLOOKUP("No Short P 2",Data!$A1266:$AG$1266,2,FALSE)</f>
        <v>0</v>
      </c>
      <c r="AA3" s="1853">
        <f>VLOOKUP("No Short P 3",Data!$A1267:$AG$1267,2,FALSE)</f>
        <v>0</v>
      </c>
      <c r="AB3" s="1855">
        <f>VLOOKUP("No Short P 4",Data!$A1268:$AG$1268,2,FALSE)</f>
        <v>0</v>
      </c>
      <c r="AC3" s="1844">
        <f>VLOOKUP("Early Yield",Data!$A$1257:$AG1257,2,FALSE)</f>
        <v>0</v>
      </c>
      <c r="AD3" s="1847" t="str">
        <f>VLOOKUP("Offset",Data!$A$1269:$AG1269,2,FALSE)</f>
        <v>EndGRN</v>
      </c>
      <c r="AE3" s="1824" t="str">
        <f>IF(VLOOKUP("Ret Hold",Data!$A$1281:$AG1281,2,FALSE)= "On", "X", "-")</f>
        <v>-</v>
      </c>
      <c r="AF3" s="1824" t="str">
        <f>IF(VLOOKUP("Float",Data!$A$1258:$AG1258,2,FALSE)= "On", "X", "-")</f>
        <v>-</v>
      </c>
      <c r="AG3" s="1824" t="str">
        <f>IF(VLOOKUP("Min Veh Perm",Data!$A1264:$AG$1264,2,FALSE)= "ON", "X", "-")</f>
        <v>-</v>
      </c>
      <c r="AH3" s="1850" t="str">
        <f>IF(VLOOKUP("Min Ped Perm",Data!$A1263:$AG$1263,2,FALSE)= "ON", "X", "-")</f>
        <v>X</v>
      </c>
      <c r="AI3" s="1841" t="str">
        <f>VLOOKUP("MI",Data!$A$1249:$AG1283,2,FALSE)</f>
        <v>OFF</v>
      </c>
    </row>
    <row r="4" spans="1:35">
      <c r="A4" s="564" t="s">
        <v>221</v>
      </c>
      <c r="B4" s="1949" t="str">
        <f>VLOOKUP("Correction Mode",Data!$A:$B,2,FALSE)</f>
        <v>SHRT/LNG</v>
      </c>
      <c r="C4" s="1950"/>
      <c r="D4" s="1690"/>
      <c r="E4" s="1801"/>
      <c r="F4" s="1812"/>
      <c r="G4" s="1812"/>
      <c r="H4" s="1815"/>
      <c r="I4" s="1690"/>
      <c r="J4" s="160" t="s">
        <v>646</v>
      </c>
      <c r="K4" s="669" t="str">
        <f>IF(VLOOKUP("Coord Phase",Data!$A$2389:$K$2389,2,FALSE)="On", "X", " ")</f>
        <v xml:space="preserve"> </v>
      </c>
      <c r="L4" s="670" t="str">
        <f>IF(VLOOKUP("Coord Phase",Data!$A$2389:$K$2389,3,FALSE)="On", "X", " ")</f>
        <v xml:space="preserve"> </v>
      </c>
      <c r="M4" s="670" t="str">
        <f>IF(VLOOKUP("Coord Phase",Data!$A$2389:$K$2389,4,FALSE)="On", "X", " ")</f>
        <v xml:space="preserve"> </v>
      </c>
      <c r="N4" s="670" t="str">
        <f>IF(VLOOKUP("Coord Phase",Data!$A$2389:$K$2389,5,FALSE)="On", "X", " ")</f>
        <v xml:space="preserve"> </v>
      </c>
      <c r="O4" s="670" t="str">
        <f>IF(VLOOKUP("Coord Phase",Data!$A$2389:$K$2389,6,FALSE)="On", "X", " ")</f>
        <v xml:space="preserve"> </v>
      </c>
      <c r="P4" s="670" t="str">
        <f>IF(VLOOKUP("Coord Phase",Data!$A$2389:$K$2389,7,FALSE)="On", "X", " ")</f>
        <v xml:space="preserve"> </v>
      </c>
      <c r="Q4" s="670" t="str">
        <f>IF(VLOOKUP("Coord Phase",Data!$A$2389:$K$2389,8,FALSE)="On", "X", " ")</f>
        <v xml:space="preserve"> </v>
      </c>
      <c r="R4" s="1113" t="str">
        <f>IF(VLOOKUP("Coord Phase",Data!$A$2389:$K$2389,9,FALSE)="On", "X", " ")</f>
        <v xml:space="preserve"> </v>
      </c>
      <c r="S4" s="1113" t="str">
        <f>IF(VLOOKUP("Coord Phase",Data!$A$2389:$K$2389,10,FALSE)="On", "X", " ")</f>
        <v xml:space="preserve"> </v>
      </c>
      <c r="T4" s="1113" t="str">
        <f>IF(VLOOKUP("Coord Phase",Data!$A$2389:$K$2389,11,FALSE)="On", "X", " ")</f>
        <v xml:space="preserve"> </v>
      </c>
      <c r="U4" s="1703"/>
      <c r="V4" s="1798"/>
      <c r="W4" s="1860"/>
      <c r="X4" s="1863"/>
      <c r="Y4" s="1866"/>
      <c r="Z4" s="1514"/>
      <c r="AA4" s="1514"/>
      <c r="AB4" s="1856"/>
      <c r="AC4" s="1845"/>
      <c r="AD4" s="1848"/>
      <c r="AE4" s="1825"/>
      <c r="AF4" s="1825"/>
      <c r="AG4" s="1825"/>
      <c r="AH4" s="1851"/>
      <c r="AI4" s="1842"/>
    </row>
    <row r="5" spans="1:35" ht="13.8" thickBot="1">
      <c r="A5" s="564" t="s">
        <v>222</v>
      </c>
      <c r="B5" s="1949" t="str">
        <f>VLOOKUP("Maximum Mode",Data!$A:$B,2,FALSE)</f>
        <v>MAX INH</v>
      </c>
      <c r="C5" s="1950"/>
      <c r="D5" s="1750"/>
      <c r="E5" s="1802"/>
      <c r="F5" s="1813"/>
      <c r="G5" s="1813"/>
      <c r="H5" s="1816"/>
      <c r="I5" s="1750"/>
      <c r="J5" s="161" t="s">
        <v>53</v>
      </c>
      <c r="K5" s="671" t="str">
        <f>VLOOKUP("Mode",Data!$A:$Y,2,FALSE)</f>
        <v>NON</v>
      </c>
      <c r="L5" s="672" t="str">
        <f>VLOOKUP("Mode",Data!$A:$Y,3,FALSE)</f>
        <v>NON</v>
      </c>
      <c r="M5" s="672" t="str">
        <f>VLOOKUP("Mode",Data!$A:$Y,4,FALSE)</f>
        <v>NON</v>
      </c>
      <c r="N5" s="672" t="str">
        <f>VLOOKUP("Mode",Data!$A:$Y,5,FALSE)</f>
        <v>NON</v>
      </c>
      <c r="O5" s="672" t="str">
        <f>VLOOKUP("Mode",Data!$A:$Y,6,FALSE)</f>
        <v>NON</v>
      </c>
      <c r="P5" s="672" t="str">
        <f>VLOOKUP("Mode",Data!$A:$Y,7,FALSE)</f>
        <v>NON</v>
      </c>
      <c r="Q5" s="672" t="str">
        <f>VLOOKUP("Mode",Data!$A:$Y,8,FALSE)</f>
        <v>NON</v>
      </c>
      <c r="R5" s="1114" t="str">
        <f>VLOOKUP("Mode",Data!$A:$Y,9,FALSE)</f>
        <v>NON</v>
      </c>
      <c r="S5" s="1114" t="str">
        <f>VLOOKUP("Mode",Data!$A:$Y,10,FALSE)</f>
        <v>NON</v>
      </c>
      <c r="T5" s="1114" t="str">
        <f>VLOOKUP("Mode",Data!$A:$Y,11,FALSE)</f>
        <v>NON</v>
      </c>
      <c r="U5" s="1752"/>
      <c r="V5" s="1799"/>
      <c r="W5" s="1861"/>
      <c r="X5" s="1864"/>
      <c r="Y5" s="1867"/>
      <c r="Z5" s="1854"/>
      <c r="AA5" s="1854"/>
      <c r="AB5" s="1857"/>
      <c r="AC5" s="1846"/>
      <c r="AD5" s="1849"/>
      <c r="AE5" s="1826"/>
      <c r="AF5" s="1826"/>
      <c r="AG5" s="1826"/>
      <c r="AH5" s="1852"/>
      <c r="AI5" s="1843"/>
    </row>
    <row r="6" spans="1:35">
      <c r="A6" s="565" t="s">
        <v>11</v>
      </c>
      <c r="B6" s="1957" t="str">
        <f>VLOOKUP("Force Mode",Data!$A:$B,2,FALSE)</f>
        <v>FIXED</v>
      </c>
      <c r="C6" s="1958"/>
      <c r="D6" s="1701">
        <v>2</v>
      </c>
      <c r="E6" s="1741">
        <f>VLOOKUP("Cycle Time",Data!$A:$Y,3,FALSE)</f>
        <v>0</v>
      </c>
      <c r="F6" s="1744">
        <f>VLOOKUP("Offset Time",Data!$A:$Y,3,FALSE)</f>
        <v>0</v>
      </c>
      <c r="G6" s="1744">
        <f>VLOOKUP("Split Number",Data!$A:$Y,3,FALSE)</f>
        <v>2</v>
      </c>
      <c r="H6" s="1747">
        <f>VLOOKUP("Seq Number",Data!$A:$Y,3,FALSE)</f>
        <v>1</v>
      </c>
      <c r="I6" s="1701">
        <v>2</v>
      </c>
      <c r="J6" s="162" t="s">
        <v>216</v>
      </c>
      <c r="K6" s="1191">
        <f>VLOOKUP("Time",Data!$A$2397:$K$2397,2,FALSE)</f>
        <v>0</v>
      </c>
      <c r="L6" s="1192">
        <f>VLOOKUP("Time",Data!$A$2397:$K$2397,3,FALSE)</f>
        <v>0</v>
      </c>
      <c r="M6" s="1192">
        <f>VLOOKUP("Time",Data!$A$2397:$K$2397,4,FALSE)</f>
        <v>0</v>
      </c>
      <c r="N6" s="1192">
        <f>VLOOKUP("Time",Data!$A$2397:$K$2397,5,FALSE)</f>
        <v>0</v>
      </c>
      <c r="O6" s="1192">
        <f>VLOOKUP("Time",Data!$A$2397:$K$2397,6,FALSE)</f>
        <v>0</v>
      </c>
      <c r="P6" s="1192">
        <f>VLOOKUP("Time",Data!$A$2397:$K$2397,7,FALSE)</f>
        <v>0</v>
      </c>
      <c r="Q6" s="1192">
        <f>VLOOKUP("Time",Data!$A$2397:$K$2397,8,FALSE)</f>
        <v>0</v>
      </c>
      <c r="R6" s="1193">
        <f>VLOOKUP("Time",Data!$A$2397:$K$2397,9,FALSE)</f>
        <v>0</v>
      </c>
      <c r="S6" s="1192">
        <f>VLOOKUP("Time",Data!$A$2397:$K$2397,10,FALSE)</f>
        <v>0</v>
      </c>
      <c r="T6" s="1193">
        <f>VLOOKUP("Time",Data!$A$2397:$K$2397,11,FALSE)</f>
        <v>0</v>
      </c>
      <c r="U6" s="1702">
        <v>2</v>
      </c>
      <c r="V6" s="1831">
        <f>VLOOKUP("Short",Data!$A$1282:$AG$1282,3,FALSE)</f>
        <v>10</v>
      </c>
      <c r="W6" s="1833">
        <f>VLOOKUP("Long",Data!$A$1260:$AG1260,3,FALSE)</f>
        <v>25</v>
      </c>
      <c r="X6" s="1835">
        <f>VLOOKUP("Dwell",Data!$A$1256:$AG1259,3,FALSE)</f>
        <v>0</v>
      </c>
      <c r="Y6" s="1837">
        <f>VLOOKUP("No Short P 1",Data!$A$1265:$AG1268,3,FALSE)</f>
        <v>0</v>
      </c>
      <c r="Z6" s="1839">
        <f>VLOOKUP("No Short P 2",Data!$A$1266:$AG1269,3,FALSE)</f>
        <v>0</v>
      </c>
      <c r="AA6" s="1839">
        <f>VLOOKUP("No Short P 3",Data!$A$1267:$AG1270,3,FALSE)</f>
        <v>0</v>
      </c>
      <c r="AB6" s="1829">
        <f>VLOOKUP("No Short P 4",Data!$A$1268:$AG1271,3,FALSE)</f>
        <v>0</v>
      </c>
      <c r="AC6" s="1870">
        <f>VLOOKUP("Early Yield",Data!$A$1257:$AG1260,3,FALSE)</f>
        <v>0</v>
      </c>
      <c r="AD6" s="1872" t="str">
        <f>VLOOKUP("Offset",Data!$A$1269:$AG1272,3,FALSE)</f>
        <v>EndGRN</v>
      </c>
      <c r="AE6" s="1827" t="str">
        <f>IF(VLOOKUP("Ret Hold",Data!$A$1281:$AG1284,3,FALSE)= "On", "X", "-")</f>
        <v>-</v>
      </c>
      <c r="AF6" s="1827" t="str">
        <f>IF(VLOOKUP("Float",Data!$A$1258:$AG1261,3,FALSE)= "On", "X", "-")</f>
        <v>-</v>
      </c>
      <c r="AG6" s="1827" t="str">
        <f>IF(VLOOKUP("Min Veh Perm",Data!$A$1264:$AG1267,3,FALSE)= "ON", "X", "-")</f>
        <v>-</v>
      </c>
      <c r="AH6" s="1876" t="str">
        <f>IF(VLOOKUP("Min Ped Perm",Data!$A$1263:$AG1266,3,FALSE)= "ON", "X", "-")</f>
        <v>X</v>
      </c>
      <c r="AI6" s="1868" t="str">
        <f>VLOOKUP("MI",Data!$A$1259:$AG1262,3,FALSE)</f>
        <v>OFF</v>
      </c>
    </row>
    <row r="7" spans="1:35" ht="13.8" thickBot="1">
      <c r="A7" s="566" t="s">
        <v>714</v>
      </c>
      <c r="B7" s="1962" t="str">
        <f>VLOOKUP("Flash Mode",Data!$A:$B,2,FALSE)</f>
        <v>CHANNEL</v>
      </c>
      <c r="C7" s="1963"/>
      <c r="D7" s="1690"/>
      <c r="E7" s="1742"/>
      <c r="F7" s="1745"/>
      <c r="G7" s="1745"/>
      <c r="H7" s="1748"/>
      <c r="I7" s="1690"/>
      <c r="J7" s="160" t="s">
        <v>646</v>
      </c>
      <c r="K7" s="1194" t="str">
        <f>IF(VLOOKUP("Coord Phase",Data!$A$2395:$K$2395,2,FALSE)="On", "X", " ")</f>
        <v xml:space="preserve"> </v>
      </c>
      <c r="L7" s="1195" t="str">
        <f>IF(VLOOKUP("Coord Phase",Data!$A$2395:$K$2395,3,FALSE)="On", "X", " ")</f>
        <v xml:space="preserve"> </v>
      </c>
      <c r="M7" s="1195" t="str">
        <f>IF(VLOOKUP("Coord Phase",Data!$A$2395:$K$2395,4,FALSE)="On", "X", " ")</f>
        <v xml:space="preserve"> </v>
      </c>
      <c r="N7" s="1195" t="str">
        <f>IF(VLOOKUP("Coord Phase",Data!$A$2395:$K$2395,5,FALSE)="On", "X", " ")</f>
        <v xml:space="preserve"> </v>
      </c>
      <c r="O7" s="1195" t="str">
        <f>IF(VLOOKUP("Coord Phase",Data!$A$2395:$K$2395,6,FALSE)="On", "X", " ")</f>
        <v xml:space="preserve"> </v>
      </c>
      <c r="P7" s="1195" t="str">
        <f>IF(VLOOKUP("Coord Phase",Data!$A$2395:$K$2395,7,FALSE)="On", "X", " ")</f>
        <v xml:space="preserve"> </v>
      </c>
      <c r="Q7" s="1195" t="str">
        <f>IF(VLOOKUP("Coord Phase",Data!$A$2395:$K$2395,8,FALSE)="On", "X", " ")</f>
        <v xml:space="preserve"> </v>
      </c>
      <c r="R7" s="1196" t="str">
        <f>IF(VLOOKUP("Coord Phase",Data!$A$2395:$K$2395,9,FALSE)="On", "X", " ")</f>
        <v xml:space="preserve"> </v>
      </c>
      <c r="S7" s="1195" t="str">
        <f>IF(VLOOKUP("Coord Phase",Data!$A$2395:$K$2395,10,FALSE)="On", "X", " ")</f>
        <v xml:space="preserve"> </v>
      </c>
      <c r="T7" s="1196" t="str">
        <f>IF(VLOOKUP("Coord Phase",Data!$A$2395:$K$2395,11,FALSE)="On", "X", " ")</f>
        <v xml:space="preserve"> </v>
      </c>
      <c r="U7" s="1703"/>
      <c r="V7" s="1754"/>
      <c r="W7" s="1757"/>
      <c r="X7" s="1760"/>
      <c r="Y7" s="1763"/>
      <c r="Z7" s="1766"/>
      <c r="AA7" s="1766"/>
      <c r="AB7" s="1769"/>
      <c r="AC7" s="1772"/>
      <c r="AD7" s="1775"/>
      <c r="AE7" s="1778"/>
      <c r="AF7" s="1778"/>
      <c r="AG7" s="1778"/>
      <c r="AH7" s="1781"/>
      <c r="AI7" s="1687"/>
    </row>
    <row r="8" spans="1:35" ht="13.8" thickBot="1">
      <c r="A8" s="1959" t="s">
        <v>716</v>
      </c>
      <c r="B8" s="1960"/>
      <c r="C8" s="1961"/>
      <c r="D8" s="1691"/>
      <c r="E8" s="1743"/>
      <c r="F8" s="1746"/>
      <c r="G8" s="1746"/>
      <c r="H8" s="1749"/>
      <c r="I8" s="1691"/>
      <c r="J8" s="163" t="s">
        <v>53</v>
      </c>
      <c r="K8" s="1197" t="str">
        <f>VLOOKUP("Mode",Data!$A$2396:$K$3104,2,FALSE)</f>
        <v>NON</v>
      </c>
      <c r="L8" s="1198" t="str">
        <f>VLOOKUP("Mode",Data!$A$2396:$K$2396,3,FALSE)</f>
        <v>NON</v>
      </c>
      <c r="M8" s="1198" t="str">
        <f>VLOOKUP("Mode",Data!$A$2396:$K$2396,4,FALSE)</f>
        <v>NON</v>
      </c>
      <c r="N8" s="1198" t="str">
        <f>VLOOKUP("Mode",Data!$A$2396:$K$2396,5,FALSE)</f>
        <v>NON</v>
      </c>
      <c r="O8" s="1198" t="str">
        <f>VLOOKUP("Mode",Data!$A$2396:$K$2396,6,FALSE)</f>
        <v>NON</v>
      </c>
      <c r="P8" s="1198" t="str">
        <f>VLOOKUP("Mode",Data!$A$2396:$K$2396,7,FALSE)</f>
        <v>NON</v>
      </c>
      <c r="Q8" s="1198" t="str">
        <f>VLOOKUP("Mode",Data!$A$2396:$K$2396,8,FALSE)</f>
        <v>NON</v>
      </c>
      <c r="R8" s="1199" t="str">
        <f>VLOOKUP("Mode",Data!$A$2396:$K$2396,9,FALSE)</f>
        <v>NON</v>
      </c>
      <c r="S8" s="1198" t="str">
        <f>VLOOKUP("Mode",Data!$A$2396:$K$2396,10,FALSE)</f>
        <v>NON</v>
      </c>
      <c r="T8" s="1199" t="str">
        <f>VLOOKUP("Mode",Data!$A$2396:$K$2396,11,FALSE)</f>
        <v>NON</v>
      </c>
      <c r="U8" s="1704"/>
      <c r="V8" s="1832"/>
      <c r="W8" s="1834"/>
      <c r="X8" s="1836"/>
      <c r="Y8" s="1838"/>
      <c r="Z8" s="1840"/>
      <c r="AA8" s="1840"/>
      <c r="AB8" s="1830"/>
      <c r="AC8" s="1871"/>
      <c r="AD8" s="1873"/>
      <c r="AE8" s="1828"/>
      <c r="AF8" s="1828"/>
      <c r="AG8" s="1828"/>
      <c r="AH8" s="1877"/>
      <c r="AI8" s="1869"/>
    </row>
    <row r="9" spans="1:35">
      <c r="A9" s="567" t="s">
        <v>997</v>
      </c>
      <c r="B9" s="1951" t="str">
        <f>VLOOKUP("Free OnSeq Chang",Data!$A:$B,2,FALSE)</f>
        <v>ON</v>
      </c>
      <c r="C9" s="1952"/>
      <c r="D9" s="1794">
        <v>3</v>
      </c>
      <c r="E9" s="1800">
        <f>VLOOKUP("Cycle Time",Data!$A:$Y,4,FALSE)</f>
        <v>0</v>
      </c>
      <c r="F9" s="1811">
        <f>VLOOKUP("Offset Time",Data!$A:$Y,4,FALSE)</f>
        <v>0</v>
      </c>
      <c r="G9" s="1811">
        <f>VLOOKUP("Split Number",Data!$A:$Y,4,FALSE)</f>
        <v>3</v>
      </c>
      <c r="H9" s="1814">
        <f>VLOOKUP("Seq Number",Data!$A:$Y,4,FALSE)</f>
        <v>1</v>
      </c>
      <c r="I9" s="1689">
        <v>3</v>
      </c>
      <c r="J9" s="164" t="s">
        <v>216</v>
      </c>
      <c r="K9" s="673">
        <f>VLOOKUP("Time",Data!$A$2403:$K$2403,2,FALSE)</f>
        <v>0</v>
      </c>
      <c r="L9" s="674">
        <f>VLOOKUP("Time",Data!$A$2403:$K$2403,3,FALSE)</f>
        <v>0</v>
      </c>
      <c r="M9" s="674">
        <f>VLOOKUP("Time",Data!$A$2403:$K$2403,4,FALSE)</f>
        <v>0</v>
      </c>
      <c r="N9" s="674">
        <f>VLOOKUP("Time",Data!$A$2403:$K$2403,5,FALSE)</f>
        <v>0</v>
      </c>
      <c r="O9" s="674">
        <f>VLOOKUP("Time",Data!$A$2403:$K$2403,6,FALSE)</f>
        <v>0</v>
      </c>
      <c r="P9" s="674">
        <f>VLOOKUP("Time",Data!$A$2403:$K$2403,7,FALSE)</f>
        <v>0</v>
      </c>
      <c r="Q9" s="674">
        <f>VLOOKUP("Time",Data!$A$2403:$K$2403,8,FALSE)</f>
        <v>0</v>
      </c>
      <c r="R9" s="1115">
        <f>VLOOKUP("Time",Data!$A$2403:$K$2403,9,FALSE)</f>
        <v>0</v>
      </c>
      <c r="S9" s="674">
        <f>VLOOKUP("Time",Data!$A$2403:$K$2403,10,FALSE)</f>
        <v>0</v>
      </c>
      <c r="T9" s="1115">
        <f>VLOOKUP("Time",Data!$A$2403:$K$2403,11,FALSE)</f>
        <v>0</v>
      </c>
      <c r="U9" s="1751">
        <v>3</v>
      </c>
      <c r="V9" s="1797">
        <f>VLOOKUP("Short",Data!$A$1282:$AG$1282,4,FALSE)</f>
        <v>10</v>
      </c>
      <c r="W9" s="1879">
        <f>VLOOKUP("Long",Data!$A$1260:$AG1260,4,FALSE)</f>
        <v>25</v>
      </c>
      <c r="X9" s="1880">
        <f>VLOOKUP("Dwell",Data!$A$1256:$AG1262,4,FALSE)</f>
        <v>0</v>
      </c>
      <c r="Y9" s="1881">
        <f>VLOOKUP("No Short P 1",Data!$A$1265:$AG1271,4,FALSE)</f>
        <v>0</v>
      </c>
      <c r="Z9" s="1882">
        <f>VLOOKUP("No Short P 2",Data!$A$1266:$AG1272,4,FALSE)</f>
        <v>0</v>
      </c>
      <c r="AA9" s="1882">
        <f>VLOOKUP("No Short P 3",Data!$A$1267:$AG1273,4,FALSE)</f>
        <v>0</v>
      </c>
      <c r="AB9" s="1883">
        <f>VLOOKUP("No Short P 4",Data!$A$1268:$AG1274,4,FALSE)</f>
        <v>0</v>
      </c>
      <c r="AC9" s="1884">
        <f>VLOOKUP("Early Yield",Data!$A$1257:$AG1263,4,FALSE)</f>
        <v>0</v>
      </c>
      <c r="AD9" s="1885" t="str">
        <f>VLOOKUP("Offset",Data!$A$1269:$AG1275,4,FALSE)</f>
        <v>EndGRN</v>
      </c>
      <c r="AE9" s="1874" t="str">
        <f>IF(VLOOKUP("Ret Hold",Data!$A$1281:$AG1287,4,FALSE)= "On", "X", "-")</f>
        <v>-</v>
      </c>
      <c r="AF9" s="1874" t="str">
        <f>IF(VLOOKUP("Float",Data!$A$1258:$AG1264,4,FALSE)= "On", "X", "-")</f>
        <v>-</v>
      </c>
      <c r="AG9" s="1874" t="str">
        <f>IF(VLOOKUP("Min Veh Perm",Data!$A$1264:$AG1270,4,FALSE)= "ON", "X", "-")</f>
        <v>-</v>
      </c>
      <c r="AH9" s="1875" t="str">
        <f>IF(VLOOKUP("Min Ped Perm",Data!$A$1263:$AG1269,4,FALSE)= "ON", "X", "-")</f>
        <v>X</v>
      </c>
      <c r="AI9" s="1878" t="str">
        <f>VLOOKUP("MI",Data!$A$1259:$AG1265,4,FALSE)</f>
        <v>OFF</v>
      </c>
    </row>
    <row r="10" spans="1:35">
      <c r="A10" s="568" t="s">
        <v>223</v>
      </c>
      <c r="B10" s="1951" t="str">
        <f>VLOOKUP("Closed Loop Active",Data!$A:$B,2,FALSE)</f>
        <v>OFF</v>
      </c>
      <c r="C10" s="1952"/>
      <c r="D10" s="1795"/>
      <c r="E10" s="1801"/>
      <c r="F10" s="1812"/>
      <c r="G10" s="1812"/>
      <c r="H10" s="1815"/>
      <c r="I10" s="1690"/>
      <c r="J10" s="160" t="s">
        <v>646</v>
      </c>
      <c r="K10" s="669" t="str">
        <f>IF(VLOOKUP("Coord Phase",Data!$A$2401:$K$2401,2,FALSE)="On", "X", " ")</f>
        <v xml:space="preserve"> </v>
      </c>
      <c r="L10" s="670" t="str">
        <f>IF(VLOOKUP("Coord Phase",Data!$A$2401:$K$2401,3,FALSE)="On", "X", " ")</f>
        <v xml:space="preserve"> </v>
      </c>
      <c r="M10" s="670" t="str">
        <f>IF(VLOOKUP("Coord Phase",Data!$A$2401:$K$2401,4,FALSE)="On", "X", " ")</f>
        <v xml:space="preserve"> </v>
      </c>
      <c r="N10" s="670" t="str">
        <f>IF(VLOOKUP("Coord Phase",Data!$A$2401:$K$2401,5,FALSE)="On", "X", " ")</f>
        <v xml:space="preserve"> </v>
      </c>
      <c r="O10" s="670" t="str">
        <f>IF(VLOOKUP("Coord Phase",Data!$A$2401:$K$2401,6,FALSE)="On", "X", " ")</f>
        <v xml:space="preserve"> </v>
      </c>
      <c r="P10" s="670" t="str">
        <f>IF(VLOOKUP("Coord Phase",Data!$A$2401:$K$2401,7,FALSE)="On", "X", " ")</f>
        <v xml:space="preserve"> </v>
      </c>
      <c r="Q10" s="670" t="str">
        <f>IF(VLOOKUP("Coord Phase",Data!$A$2401:$K$2401,8,FALSE)="On", "X", " ")</f>
        <v xml:space="preserve"> </v>
      </c>
      <c r="R10" s="1113" t="str">
        <f>IF(VLOOKUP("Coord Phase",Data!$A$2401:$K$2401,9,FALSE)="On", "X", " ")</f>
        <v xml:space="preserve"> </v>
      </c>
      <c r="S10" s="670" t="str">
        <f>IF(VLOOKUP("Coord Phase",Data!$A$2401:$K$2401,10,FALSE)="On", "X", " ")</f>
        <v xml:space="preserve"> </v>
      </c>
      <c r="T10" s="1113" t="str">
        <f>IF(VLOOKUP("Coord Phase",Data!$A$2401:$K$2401,11,FALSE)="On", "X", " ")</f>
        <v xml:space="preserve"> </v>
      </c>
      <c r="U10" s="1703"/>
      <c r="V10" s="1798"/>
      <c r="W10" s="1860"/>
      <c r="X10" s="1863"/>
      <c r="Y10" s="1866"/>
      <c r="Z10" s="1514"/>
      <c r="AA10" s="1514"/>
      <c r="AB10" s="1856"/>
      <c r="AC10" s="1845"/>
      <c r="AD10" s="1848"/>
      <c r="AE10" s="1825"/>
      <c r="AF10" s="1825"/>
      <c r="AG10" s="1825"/>
      <c r="AH10" s="1851"/>
      <c r="AI10" s="1842"/>
    </row>
    <row r="11" spans="1:35" ht="13.8" thickBot="1">
      <c r="A11" s="568" t="s">
        <v>13</v>
      </c>
      <c r="B11" s="1951" t="str">
        <f>VLOOKUP("External",Data!$A:$B,2,FALSE)</f>
        <v>OFF</v>
      </c>
      <c r="C11" s="1952"/>
      <c r="D11" s="1796"/>
      <c r="E11" s="1802"/>
      <c r="F11" s="1813"/>
      <c r="G11" s="1813"/>
      <c r="H11" s="1816"/>
      <c r="I11" s="1750"/>
      <c r="J11" s="161" t="s">
        <v>53</v>
      </c>
      <c r="K11" s="671" t="str">
        <f>VLOOKUP("Mode",Data!$A$2402:$K$2402,2,FALSE)</f>
        <v>NON</v>
      </c>
      <c r="L11" s="672" t="str">
        <f>VLOOKUP("Mode",Data!$A$2402:$K$2402,3,FALSE)</f>
        <v>NON</v>
      </c>
      <c r="M11" s="672" t="str">
        <f>VLOOKUP("Mode",Data!$A$2402:$K$2402,4,FALSE)</f>
        <v>NON</v>
      </c>
      <c r="N11" s="672" t="str">
        <f>VLOOKUP("Mode",Data!$A$2402:$K$2402,5,FALSE)</f>
        <v>NON</v>
      </c>
      <c r="O11" s="672" t="str">
        <f>VLOOKUP("Mode",Data!$A$2402:$K$2402,6,FALSE)</f>
        <v>NON</v>
      </c>
      <c r="P11" s="672" t="str">
        <f>VLOOKUP("Mode",Data!$A$2402:$K$2402,7,FALSE)</f>
        <v>NON</v>
      </c>
      <c r="Q11" s="672" t="str">
        <f>VLOOKUP("Mode",Data!$A$2402:$K$2402,8,FALSE)</f>
        <v>NON</v>
      </c>
      <c r="R11" s="1114" t="str">
        <f>VLOOKUP("Mode",Data!$A$2402:$K$2402,9,FALSE)</f>
        <v>NON</v>
      </c>
      <c r="S11" s="672" t="str">
        <f>VLOOKUP("Mode",Data!$A$2402:$K$2402,10,FALSE)</f>
        <v>NON</v>
      </c>
      <c r="T11" s="1114" t="str">
        <f>VLOOKUP("Mode",Data!$A$2402:$K$2402,11,FALSE)</f>
        <v>NON</v>
      </c>
      <c r="U11" s="1752"/>
      <c r="V11" s="1799"/>
      <c r="W11" s="1861"/>
      <c r="X11" s="1864"/>
      <c r="Y11" s="1867"/>
      <c r="Z11" s="1854"/>
      <c r="AA11" s="1854"/>
      <c r="AB11" s="1857"/>
      <c r="AC11" s="1846"/>
      <c r="AD11" s="1849"/>
      <c r="AE11" s="1826"/>
      <c r="AF11" s="1826"/>
      <c r="AG11" s="1826"/>
      <c r="AH11" s="1852"/>
      <c r="AI11" s="1843"/>
    </row>
    <row r="12" spans="1:35">
      <c r="A12" s="568" t="s">
        <v>713</v>
      </c>
      <c r="B12" s="1951" t="str">
        <f>VLOOKUP("Latch Sec Foff",Data!$A:$B,2,FALSE)</f>
        <v>OFF</v>
      </c>
      <c r="C12" s="1952"/>
      <c r="D12" s="1701">
        <v>4</v>
      </c>
      <c r="E12" s="1741">
        <f>VLOOKUP("Cycle Time",Data!$A:$Y,5,FALSE)</f>
        <v>0</v>
      </c>
      <c r="F12" s="1744">
        <f>VLOOKUP("Offset Time",Data!$A:$Y,5,FALSE)</f>
        <v>0</v>
      </c>
      <c r="G12" s="1744">
        <f>VLOOKUP("Split Number",Data!$A:$Y,5,FALSE)</f>
        <v>4</v>
      </c>
      <c r="H12" s="1747">
        <f>VLOOKUP("Seq Number",Data!$A:$Y,5,FALSE)</f>
        <v>1</v>
      </c>
      <c r="I12" s="1701">
        <v>4</v>
      </c>
      <c r="J12" s="162" t="s">
        <v>216</v>
      </c>
      <c r="K12" s="1191">
        <f>VLOOKUP("Time",Data!$A$2409:$K$2409,2,FALSE)</f>
        <v>0</v>
      </c>
      <c r="L12" s="1192">
        <f>VLOOKUP("Time",Data!$A$2409:$K$2409,3,FALSE)</f>
        <v>0</v>
      </c>
      <c r="M12" s="1192">
        <f>VLOOKUP("Time",Data!$A$2409:$K$2409,4,FALSE)</f>
        <v>0</v>
      </c>
      <c r="N12" s="1192">
        <f>VLOOKUP("Time",Data!$A$2409:$K$2409,5,FALSE)</f>
        <v>0</v>
      </c>
      <c r="O12" s="1192">
        <f>VLOOKUP("Time",Data!$A$2409:$K$2409,6,FALSE)</f>
        <v>0</v>
      </c>
      <c r="P12" s="1192">
        <f>VLOOKUP("Time",Data!$A$2409:$K$2409,7,FALSE)</f>
        <v>0</v>
      </c>
      <c r="Q12" s="1192">
        <f>VLOOKUP("Time",Data!$A$2409:$K$2409,8,FALSE)</f>
        <v>0</v>
      </c>
      <c r="R12" s="1193">
        <f>VLOOKUP("Time",Data!$A$2409:$K$2409,9,FALSE)</f>
        <v>0</v>
      </c>
      <c r="S12" s="1192">
        <f>VLOOKUP("Time",Data!$A$2409:$K$2409,10,FALSE)</f>
        <v>0</v>
      </c>
      <c r="T12" s="1193">
        <f>VLOOKUP("Time",Data!$A$2409:$K$2409,11,FALSE)</f>
        <v>0</v>
      </c>
      <c r="U12" s="1702">
        <v>4</v>
      </c>
      <c r="V12" s="1753">
        <f>VLOOKUP("Short",Data!$A$1282:$AG$1282,5,FALSE)</f>
        <v>10</v>
      </c>
      <c r="W12" s="1756">
        <f>VLOOKUP("Long",Data!$A$1260:$AG1260,5,FALSE)</f>
        <v>25</v>
      </c>
      <c r="X12" s="1759">
        <f>VLOOKUP("Dwell",Data!$A$1256:$AG1265,5,FALSE)</f>
        <v>0</v>
      </c>
      <c r="Y12" s="1762">
        <f>VLOOKUP("No Short P 1",Data!$A$1265:$AG1274,5,FALSE)</f>
        <v>0</v>
      </c>
      <c r="Z12" s="1765">
        <f>VLOOKUP("No Short P 2",Data!$A$1266:$AG1275,5,FALSE)</f>
        <v>0</v>
      </c>
      <c r="AA12" s="1765">
        <f>VLOOKUP("No Short P 3",Data!$A$1267:$AG1276,5,FALSE)</f>
        <v>0</v>
      </c>
      <c r="AB12" s="1768">
        <f>VLOOKUP("No Short P 4",Data!$A$1268:$AG1277,5,FALSE)</f>
        <v>0</v>
      </c>
      <c r="AC12" s="1771">
        <f>VLOOKUP("Early Yield",Data!$A$1257:$AG1266,5,FALSE)</f>
        <v>0</v>
      </c>
      <c r="AD12" s="1774" t="str">
        <f>VLOOKUP("Offset",Data!$A$1269:$AG1278,5,FALSE)</f>
        <v>EndGRN</v>
      </c>
      <c r="AE12" s="1777" t="str">
        <f>IF(VLOOKUP("Ret Hold",Data!$A$1281:$AG1290,5,FALSE)= "On", "X", "-")</f>
        <v>-</v>
      </c>
      <c r="AF12" s="1777" t="str">
        <f>IF(VLOOKUP("Float",Data!$A$1258:$AG1267,5,FALSE)= "On", "X", "-")</f>
        <v>-</v>
      </c>
      <c r="AG12" s="1777" t="str">
        <f>IF(VLOOKUP("Min Veh Perm",Data!$A$1264:$AG1273,5,FALSE)= "ON", "X", "-")</f>
        <v>-</v>
      </c>
      <c r="AH12" s="1780" t="str">
        <f>IF(VLOOKUP("Min Ped Perm",Data!$A$1263:$AG1272,5,FALSE)= "ON", "X", "-")</f>
        <v>X</v>
      </c>
      <c r="AI12" s="1686" t="str">
        <f>VLOOKUP("MI",Data!$A$1259:$AG1268,5,FALSE)</f>
        <v>OFF</v>
      </c>
    </row>
    <row r="13" spans="1:35">
      <c r="A13" s="568" t="s">
        <v>224</v>
      </c>
      <c r="B13" s="1951" t="str">
        <f>VLOOKUP("Stop In Walk",Data!$A:$B,2,FALSE)</f>
        <v>OFF</v>
      </c>
      <c r="C13" s="1952"/>
      <c r="D13" s="1690"/>
      <c r="E13" s="1742"/>
      <c r="F13" s="1745"/>
      <c r="G13" s="1745"/>
      <c r="H13" s="1748"/>
      <c r="I13" s="1690"/>
      <c r="J13" s="160" t="s">
        <v>646</v>
      </c>
      <c r="K13" s="1194" t="str">
        <f>IF(VLOOKUP("Coord Phase",Data!$A$2407:$K$2407,2,FALSE)="On", "X", " ")</f>
        <v xml:space="preserve"> </v>
      </c>
      <c r="L13" s="1195" t="str">
        <f>IF(VLOOKUP("Coord Phase",Data!$A$2407:$K$2407,3,FALSE)="On", "X", " ")</f>
        <v xml:space="preserve"> </v>
      </c>
      <c r="M13" s="1195" t="str">
        <f>IF(VLOOKUP("Coord Phase",Data!$A$2407:$K$2407,4,FALSE)="On", "X", " ")</f>
        <v xml:space="preserve"> </v>
      </c>
      <c r="N13" s="1195" t="str">
        <f>IF(VLOOKUP("Coord Phase",Data!$A$2407:$K$2407,5,FALSE)="On", "X", " ")</f>
        <v xml:space="preserve"> </v>
      </c>
      <c r="O13" s="1195" t="str">
        <f>IF(VLOOKUP("Coord Phase",Data!$A$2407:$K$2407,6,FALSE)="On", "X", " ")</f>
        <v xml:space="preserve"> </v>
      </c>
      <c r="P13" s="1195" t="str">
        <f>IF(VLOOKUP("Coord Phase",Data!$A$2407:$K$2407,7,FALSE)="On", "X", " ")</f>
        <v xml:space="preserve"> </v>
      </c>
      <c r="Q13" s="1195" t="str">
        <f>IF(VLOOKUP("Coord Phase",Data!$A$2407:$K$2407,8,FALSE)="On", "X", " ")</f>
        <v xml:space="preserve"> </v>
      </c>
      <c r="R13" s="1196" t="str">
        <f>IF(VLOOKUP("Coord Phase",Data!$A$2407:$K$2407,9,FALSE)="On", "X", " ")</f>
        <v xml:space="preserve"> </v>
      </c>
      <c r="S13" s="1195" t="str">
        <f>IF(VLOOKUP("Coord Phase",Data!$A$2407:$K$2407,10,FALSE)="On", "X", " ")</f>
        <v xml:space="preserve"> </v>
      </c>
      <c r="T13" s="1196" t="str">
        <f>IF(VLOOKUP("Coord Phase",Data!$A$2407:$K$2407,11,FALSE)="On", "X", " ")</f>
        <v xml:space="preserve"> </v>
      </c>
      <c r="U13" s="1703"/>
      <c r="V13" s="1754"/>
      <c r="W13" s="1757"/>
      <c r="X13" s="1760"/>
      <c r="Y13" s="1763"/>
      <c r="Z13" s="1766"/>
      <c r="AA13" s="1766"/>
      <c r="AB13" s="1769"/>
      <c r="AC13" s="1772"/>
      <c r="AD13" s="1775"/>
      <c r="AE13" s="1778"/>
      <c r="AF13" s="1778"/>
      <c r="AG13" s="1778"/>
      <c r="AH13" s="1781"/>
      <c r="AI13" s="1687"/>
    </row>
    <row r="14" spans="1:35" ht="13.8" thickBot="1">
      <c r="A14" s="568" t="s">
        <v>226</v>
      </c>
      <c r="B14" s="1951" t="str">
        <f>VLOOKUP("Walk Recycle",Data!$A:$B,2,FALSE)</f>
        <v>P1256_INH</v>
      </c>
      <c r="C14" s="1952"/>
      <c r="D14" s="1691"/>
      <c r="E14" s="1743"/>
      <c r="F14" s="1746"/>
      <c r="G14" s="1746"/>
      <c r="H14" s="1749"/>
      <c r="I14" s="1691"/>
      <c r="J14" s="163" t="s">
        <v>53</v>
      </c>
      <c r="K14" s="1197" t="str">
        <f>VLOOKUP("Mode",Data!$A$2408:$K$2408,2,FALSE)</f>
        <v>NON</v>
      </c>
      <c r="L14" s="1198" t="str">
        <f>VLOOKUP("Mode",Data!$A$2408:$K$2408,3,FALSE)</f>
        <v>NON</v>
      </c>
      <c r="M14" s="1198" t="str">
        <f>VLOOKUP("Mode",Data!$A$2408:$K$2408,4,FALSE)</f>
        <v>NON</v>
      </c>
      <c r="N14" s="1198" t="str">
        <f>VLOOKUP("Mode",Data!$A$2408:$K$2408,5,FALSE)</f>
        <v>NON</v>
      </c>
      <c r="O14" s="1198" t="str">
        <f>VLOOKUP("Mode",Data!$A$2408:$K$2408,6,FALSE)</f>
        <v>NON</v>
      </c>
      <c r="P14" s="1198" t="str">
        <f>VLOOKUP("Mode",Data!$A$2408:$K$2408,7,FALSE)</f>
        <v>NON</v>
      </c>
      <c r="Q14" s="1198" t="str">
        <f>VLOOKUP("Mode",Data!$A$2408:$K$2408,8,FALSE)</f>
        <v>NON</v>
      </c>
      <c r="R14" s="1199" t="str">
        <f>VLOOKUP("Mode",Data!$A$2408:$K$2408,9,FALSE)</f>
        <v>NON</v>
      </c>
      <c r="S14" s="1198" t="str">
        <f>VLOOKUP("Mode",Data!$A$2408:$K$2408,10,FALSE)</f>
        <v>NON</v>
      </c>
      <c r="T14" s="1199" t="str">
        <f>VLOOKUP("Mode",Data!$A$2408:$K$2408,11,FALSE)</f>
        <v>NON</v>
      </c>
      <c r="U14" s="1704"/>
      <c r="V14" s="1755"/>
      <c r="W14" s="1758"/>
      <c r="X14" s="1761"/>
      <c r="Y14" s="1764"/>
      <c r="Z14" s="1767"/>
      <c r="AA14" s="1767"/>
      <c r="AB14" s="1770"/>
      <c r="AC14" s="1773"/>
      <c r="AD14" s="1776"/>
      <c r="AE14" s="1779"/>
      <c r="AF14" s="1779"/>
      <c r="AG14" s="1779"/>
      <c r="AH14" s="1782"/>
      <c r="AI14" s="1688"/>
    </row>
    <row r="15" spans="1:35">
      <c r="A15" s="568" t="s">
        <v>225</v>
      </c>
      <c r="B15" s="1953" t="str">
        <f>'Ø Olap (10 Phase)'!AQ4</f>
        <v>OFF</v>
      </c>
      <c r="C15" s="1954"/>
      <c r="D15" s="1794">
        <v>5</v>
      </c>
      <c r="E15" s="1800">
        <f>VLOOKUP("Cycle Time",Data!$A:$Y,6,FALSE)</f>
        <v>0</v>
      </c>
      <c r="F15" s="1811">
        <f>VLOOKUP("Offset Time",Data!$A:$Y,6,FALSE)</f>
        <v>0</v>
      </c>
      <c r="G15" s="1811">
        <f>VLOOKUP("Split Number",Data!$A:$Y,6,FALSE)</f>
        <v>5</v>
      </c>
      <c r="H15" s="1814">
        <f>VLOOKUP("Seq Number",Data!$A:$Y,6,FALSE)</f>
        <v>1</v>
      </c>
      <c r="I15" s="1689">
        <v>5</v>
      </c>
      <c r="J15" s="164" t="s">
        <v>216</v>
      </c>
      <c r="K15" s="673">
        <f>VLOOKUP("Time",Data!$A$2415:$K$2415,2,FALSE)</f>
        <v>0</v>
      </c>
      <c r="L15" s="674">
        <f>VLOOKUP("Time",Data!$A$2415:$K$2415,3,FALSE)</f>
        <v>0</v>
      </c>
      <c r="M15" s="674">
        <f>VLOOKUP("Time",Data!$A$2415:$K$2415,4,FALSE)</f>
        <v>0</v>
      </c>
      <c r="N15" s="674">
        <f>VLOOKUP("Time",Data!$A$2415:$K$2415,5,FALSE)</f>
        <v>0</v>
      </c>
      <c r="O15" s="674">
        <f>VLOOKUP("Time",Data!$A$2415:$K$2415,6,FALSE)</f>
        <v>0</v>
      </c>
      <c r="P15" s="674">
        <f>VLOOKUP("Time",Data!$A$2415:$K$2415,7,FALSE)</f>
        <v>0</v>
      </c>
      <c r="Q15" s="674">
        <f>VLOOKUP("Time",Data!$A$2415:$K$2415,8,FALSE)</f>
        <v>0</v>
      </c>
      <c r="R15" s="1115">
        <f>VLOOKUP("Time",Data!$A$2415:$K$2415,9,FALSE)</f>
        <v>0</v>
      </c>
      <c r="S15" s="674">
        <f>VLOOKUP("Time",Data!$A$2415:$K$2415,10,FALSE)</f>
        <v>0</v>
      </c>
      <c r="T15" s="1115">
        <f>VLOOKUP("Time",Data!$A$2415:$K$2415,11,FALSE)</f>
        <v>0</v>
      </c>
      <c r="U15" s="1751">
        <v>5</v>
      </c>
      <c r="V15" s="1797">
        <f>VLOOKUP("Short",Data!$A$1282:$AG$1282,6,FALSE)</f>
        <v>10</v>
      </c>
      <c r="W15" s="1879">
        <f>VLOOKUP("Long",Data!$A$1260:$AG1260,6,FALSE)</f>
        <v>25</v>
      </c>
      <c r="X15" s="1880">
        <f>VLOOKUP("Dwell",Data!$A$1256:$AG1268,6,FALSE)</f>
        <v>0</v>
      </c>
      <c r="Y15" s="1881">
        <f>VLOOKUP("No Short P 1",Data!$A$1265:$AG1277,6,FALSE)</f>
        <v>0</v>
      </c>
      <c r="Z15" s="1882">
        <f>VLOOKUP("No Short P 2",Data!$A$1266:$AG1278,6,FALSE)</f>
        <v>0</v>
      </c>
      <c r="AA15" s="1882">
        <f>VLOOKUP("No Short P 3",Data!$A$1267:$AG1279,6,FALSE)</f>
        <v>0</v>
      </c>
      <c r="AB15" s="1883">
        <f>VLOOKUP("No Short P 4",Data!$A$1268:$AG1280,6,FALSE)</f>
        <v>0</v>
      </c>
      <c r="AC15" s="1884">
        <f>VLOOKUP("Early Yield",Data!$A$1257:$AG1269,6,FALSE)</f>
        <v>0</v>
      </c>
      <c r="AD15" s="1885" t="str">
        <f>VLOOKUP("Offset",Data!$A$1269:$AG1281,6,FALSE)</f>
        <v>EndGRN</v>
      </c>
      <c r="AE15" s="1874" t="str">
        <f>IF(VLOOKUP("Ret Hold",Data!$A$1281:$AG1293,6,FALSE)= "On", "X", "-")</f>
        <v>-</v>
      </c>
      <c r="AF15" s="1874" t="str">
        <f>IF(VLOOKUP("Float",Data!$A$1258:$AG1270,6,FALSE)= "On", "X", "-")</f>
        <v>-</v>
      </c>
      <c r="AG15" s="1874" t="str">
        <f>IF(VLOOKUP("Min Veh Perm",Data!$A$1264:$AG1276,6,FALSE)= "ON", "X", "-")</f>
        <v>-</v>
      </c>
      <c r="AH15" s="1875" t="str">
        <f>IF(VLOOKUP("Min Ped Perm",Data!$A$1263:$AG1275,6,FALSE)= "ON", "X", "-")</f>
        <v>X</v>
      </c>
      <c r="AI15" s="1878" t="str">
        <f>VLOOKUP("MI",Data!$A$1259:$AG1271,6,FALSE)</f>
        <v>OFF</v>
      </c>
    </row>
    <row r="16" spans="1:35">
      <c r="A16" s="569" t="s">
        <v>717</v>
      </c>
      <c r="B16" s="1953" t="str">
        <f>VLOOKUP("Coord Easy Float",Data!$A:$B,2,FALSE)</f>
        <v>OFF</v>
      </c>
      <c r="C16" s="1954"/>
      <c r="D16" s="1795"/>
      <c r="E16" s="1801"/>
      <c r="F16" s="1812"/>
      <c r="G16" s="1812"/>
      <c r="H16" s="1815"/>
      <c r="I16" s="1690"/>
      <c r="J16" s="160" t="s">
        <v>646</v>
      </c>
      <c r="K16" s="669" t="str">
        <f>IF(VLOOKUP("Coord Phase",Data!$A$2413:$K$2413,2,FALSE)="On", "X", " ")</f>
        <v xml:space="preserve"> </v>
      </c>
      <c r="L16" s="670" t="str">
        <f>IF(VLOOKUP("Coord Phase",Data!$A$2413:$K$2413,3,FALSE)="On", "X", " ")</f>
        <v xml:space="preserve"> </v>
      </c>
      <c r="M16" s="670" t="str">
        <f>IF(VLOOKUP("Coord Phase",Data!$A$2413:$K$2413,4,FALSE)="On", "X", " ")</f>
        <v xml:space="preserve"> </v>
      </c>
      <c r="N16" s="670" t="str">
        <f>IF(VLOOKUP("Coord Phase",Data!$A$2413:$K$2413,5,FALSE)="On", "X", " ")</f>
        <v xml:space="preserve"> </v>
      </c>
      <c r="O16" s="670" t="str">
        <f>IF(VLOOKUP("Coord Phase",Data!$A$2413:$K$2413,6,FALSE)="On", "X", " ")</f>
        <v xml:space="preserve"> </v>
      </c>
      <c r="P16" s="670" t="str">
        <f>IF(VLOOKUP("Coord Phase",Data!$A$2413:$K$2413,7,FALSE)="On", "X", " ")</f>
        <v xml:space="preserve"> </v>
      </c>
      <c r="Q16" s="670" t="str">
        <f>IF(VLOOKUP("Coord Phase",Data!$A$2413:$K$2413,8,FALSE)="On", "X", " ")</f>
        <v xml:space="preserve"> </v>
      </c>
      <c r="R16" s="1113" t="str">
        <f>IF(VLOOKUP("Coord Phase",Data!$A$2413:$K$2413,9,FALSE)="On", "X", " ")</f>
        <v xml:space="preserve"> </v>
      </c>
      <c r="S16" s="670" t="str">
        <f>IF(VLOOKUP("Coord Phase",Data!$A$2413:$K$2413,10,FALSE)="On", "X", " ")</f>
        <v xml:space="preserve"> </v>
      </c>
      <c r="T16" s="1113" t="str">
        <f>IF(VLOOKUP("Coord Phase",Data!$A$2413:$K$2413,11,FALSE)="On", "X", " ")</f>
        <v xml:space="preserve"> </v>
      </c>
      <c r="U16" s="1703"/>
      <c r="V16" s="1798"/>
      <c r="W16" s="1860"/>
      <c r="X16" s="1863"/>
      <c r="Y16" s="1866"/>
      <c r="Z16" s="1514"/>
      <c r="AA16" s="1514"/>
      <c r="AB16" s="1856"/>
      <c r="AC16" s="1845"/>
      <c r="AD16" s="1848"/>
      <c r="AE16" s="1825"/>
      <c r="AF16" s="1825"/>
      <c r="AG16" s="1825"/>
      <c r="AH16" s="1851"/>
      <c r="AI16" s="1842"/>
    </row>
    <row r="17" spans="1:35" ht="13.8" thickBot="1">
      <c r="A17" s="570" t="s">
        <v>12</v>
      </c>
      <c r="B17" s="1951" t="str">
        <f>VLOOKUP("Auto Err Reset",Data!$A:$B,2,FALSE)</f>
        <v>ON</v>
      </c>
      <c r="C17" s="1952"/>
      <c r="D17" s="1796"/>
      <c r="E17" s="1802"/>
      <c r="F17" s="1813"/>
      <c r="G17" s="1813"/>
      <c r="H17" s="1816"/>
      <c r="I17" s="1750"/>
      <c r="J17" s="161" t="s">
        <v>53</v>
      </c>
      <c r="K17" s="671" t="str">
        <f>VLOOKUP("Mode",Data!$A$2414:$K$2414,2,FALSE)</f>
        <v>NON</v>
      </c>
      <c r="L17" s="672" t="str">
        <f>VLOOKUP("Mode",Data!$A$2414:$K$2414,3,FALSE)</f>
        <v>NON</v>
      </c>
      <c r="M17" s="672" t="str">
        <f>VLOOKUP("Mode",Data!$A$2414:$K$2414,4,FALSE)</f>
        <v>NON</v>
      </c>
      <c r="N17" s="672" t="str">
        <f>VLOOKUP("Mode",Data!$A$2414:$K$2414,5,FALSE)</f>
        <v>NON</v>
      </c>
      <c r="O17" s="672" t="str">
        <f>VLOOKUP("Mode",Data!$A$2414:$K$2414,6,FALSE)</f>
        <v>NON</v>
      </c>
      <c r="P17" s="672" t="str">
        <f>VLOOKUP("Mode",Data!$A$2414:$K$2414,7,FALSE)</f>
        <v>NON</v>
      </c>
      <c r="Q17" s="672" t="str">
        <f>VLOOKUP("Mode",Data!$A$2414:$K$2414,8,FALSE)</f>
        <v>NON</v>
      </c>
      <c r="R17" s="1114" t="str">
        <f>VLOOKUP("Mode",Data!$A$2414:$K$2414,9,FALSE)</f>
        <v>NON</v>
      </c>
      <c r="S17" s="672" t="str">
        <f>VLOOKUP("Mode",Data!$A$2414:$K$2414,10,FALSE)</f>
        <v>NON</v>
      </c>
      <c r="T17" s="1114" t="str">
        <f>VLOOKUP("Mode",Data!$A$2414:$K$2414,11,FALSE)</f>
        <v>NON</v>
      </c>
      <c r="U17" s="1752"/>
      <c r="V17" s="1799"/>
      <c r="W17" s="1861"/>
      <c r="X17" s="1864"/>
      <c r="Y17" s="1867"/>
      <c r="Z17" s="1854"/>
      <c r="AA17" s="1854"/>
      <c r="AB17" s="1857"/>
      <c r="AC17" s="1846"/>
      <c r="AD17" s="1849"/>
      <c r="AE17" s="1826"/>
      <c r="AF17" s="1826"/>
      <c r="AG17" s="1826"/>
      <c r="AH17" s="1852"/>
      <c r="AI17" s="1843"/>
    </row>
    <row r="18" spans="1:35">
      <c r="A18" s="568" t="s">
        <v>660</v>
      </c>
      <c r="B18" s="665" t="str">
        <f>VLOOKUP("Coord NTCIP Yield Sign",Data!$A:$B,2,FALSE)</f>
        <v>+</v>
      </c>
      <c r="C18" s="666" t="str">
        <f>VLOOKUP("NTCIP YIELD",Data!$A:$B,2,FALSE)</f>
        <v>0</v>
      </c>
      <c r="D18" s="1701">
        <v>6</v>
      </c>
      <c r="E18" s="1741">
        <f>VLOOKUP("Cycle Time",Data!$A:$Y,7,FALSE)</f>
        <v>0</v>
      </c>
      <c r="F18" s="1744">
        <f>VLOOKUP("Offset Time",Data!$A:$Y,7,FALSE)</f>
        <v>0</v>
      </c>
      <c r="G18" s="1744">
        <f>VLOOKUP("Split Number",Data!$A:$Y,7,FALSE)</f>
        <v>6</v>
      </c>
      <c r="H18" s="1747">
        <f>VLOOKUP("Seq Number",Data!$A:$Y,7,FALSE)</f>
        <v>1</v>
      </c>
      <c r="I18" s="1701">
        <v>6</v>
      </c>
      <c r="J18" s="162" t="s">
        <v>216</v>
      </c>
      <c r="K18" s="1182">
        <f>VLOOKUP("Time",Data!$A$2421:$K$2421,2,FALSE)</f>
        <v>0</v>
      </c>
      <c r="L18" s="1183">
        <f>VLOOKUP("Time",Data!$A$2421:$K$2421,3,FALSE)</f>
        <v>0</v>
      </c>
      <c r="M18" s="1184">
        <f>VLOOKUP("Time",Data!$A$2421:$K$2421,4,FALSE)</f>
        <v>0</v>
      </c>
      <c r="N18" s="1183">
        <f>VLOOKUP("Time",Data!$A$2421:$K$2421,5,FALSE)</f>
        <v>0</v>
      </c>
      <c r="O18" s="1184">
        <f>VLOOKUP("Time",Data!$A$2421:$K$2421,6,FALSE)</f>
        <v>0</v>
      </c>
      <c r="P18" s="1183">
        <f>VLOOKUP("Time",Data!$A$2421:$K$2421,7,FALSE)</f>
        <v>0</v>
      </c>
      <c r="Q18" s="1183">
        <f>VLOOKUP("Time",Data!$A$2421:$K$2421,8,FALSE)</f>
        <v>0</v>
      </c>
      <c r="R18" s="1184">
        <f>VLOOKUP("Time",Data!$A$2421:$K$2421,9,FALSE)</f>
        <v>0</v>
      </c>
      <c r="S18" s="1183">
        <f>VLOOKUP("Time",Data!$A$2421:$K$2421,10,FALSE)</f>
        <v>0</v>
      </c>
      <c r="T18" s="1184">
        <f>VLOOKUP("Time",Data!$A$2421:$K$2421,11,FALSE)</f>
        <v>0</v>
      </c>
      <c r="U18" s="1702">
        <v>6</v>
      </c>
      <c r="V18" s="1753">
        <f>VLOOKUP("Short",Data!$A$1282:$AG$1282,7,FALSE)</f>
        <v>10</v>
      </c>
      <c r="W18" s="1756">
        <f>VLOOKUP("Long",Data!$A$1260:$AG1260,7,FALSE)</f>
        <v>25</v>
      </c>
      <c r="X18" s="1759">
        <f>VLOOKUP("Dwell",Data!$A$1256:$AG1271,7,FALSE)</f>
        <v>0</v>
      </c>
      <c r="Y18" s="1762">
        <f>VLOOKUP("No Short P 1",Data!$A$1265:$AG1280,7,FALSE)</f>
        <v>0</v>
      </c>
      <c r="Z18" s="1765">
        <f>VLOOKUP("No Short P 2",Data!$A$1266:$AG1281,7,FALSE)</f>
        <v>0</v>
      </c>
      <c r="AA18" s="1765">
        <f>VLOOKUP("No Short P 3",Data!$A$1267:$AG1282,7,FALSE)</f>
        <v>0</v>
      </c>
      <c r="AB18" s="1768">
        <f>VLOOKUP("No Short P 4",Data!$A$1268:$AG1283,7,FALSE)</f>
        <v>0</v>
      </c>
      <c r="AC18" s="1771">
        <f>VLOOKUP("Early Yield",Data!$A$1257:$AG1272,7,FALSE)</f>
        <v>0</v>
      </c>
      <c r="AD18" s="1774" t="str">
        <f>VLOOKUP("Offset",Data!$A$1269:$AG1284,7,FALSE)</f>
        <v>EndGRN</v>
      </c>
      <c r="AE18" s="1777" t="str">
        <f>IF(VLOOKUP("Ret Hold",Data!$A$1281:$AG1296,7,FALSE)= "On", "X", "-")</f>
        <v>-</v>
      </c>
      <c r="AF18" s="1777" t="str">
        <f>IF(VLOOKUP("Float",Data!$A$1258:$AG1273,7,FALSE)= "On", "X", "-")</f>
        <v>-</v>
      </c>
      <c r="AG18" s="1777" t="str">
        <f>IF(VLOOKUP("Min Veh Perm",Data!$A$1264:$AG1279,7,FALSE)= "ON", "X", "-")</f>
        <v>-</v>
      </c>
      <c r="AH18" s="1780" t="str">
        <f>IF(VLOOKUP("Min Ped Perm",Data!$A$1263:$AG1278,7,FALSE)= "ON", "X", "-")</f>
        <v>X</v>
      </c>
      <c r="AI18" s="1686" t="str">
        <f>VLOOKUP("MI",Data!$A$1259:$AG1274,7,FALSE)</f>
        <v>OFF</v>
      </c>
    </row>
    <row r="19" spans="1:35">
      <c r="A19" s="1964" t="s">
        <v>712</v>
      </c>
      <c r="B19" s="1965"/>
      <c r="C19" s="1966"/>
      <c r="D19" s="1690"/>
      <c r="E19" s="1742"/>
      <c r="F19" s="1745"/>
      <c r="G19" s="1745"/>
      <c r="H19" s="1748"/>
      <c r="I19" s="1690"/>
      <c r="J19" s="160" t="s">
        <v>646</v>
      </c>
      <c r="K19" s="1194" t="str">
        <f>IF(VLOOKUP("Coord Phase",Data!$A$2419:$K$2419,2,FALSE)="On", "X", " ")</f>
        <v xml:space="preserve"> </v>
      </c>
      <c r="L19" s="1195" t="str">
        <f>IF(VLOOKUP("Coord Phase",Data!$A$2419:$K$2419,3,FALSE)="On", "X", " ")</f>
        <v xml:space="preserve"> </v>
      </c>
      <c r="M19" s="1195" t="str">
        <f>IF(VLOOKUP("Coord Phase",Data!$A$2419:$K$2419,4,FALSE)="On", "X", " ")</f>
        <v xml:space="preserve"> </v>
      </c>
      <c r="N19" s="1195" t="str">
        <f>IF(VLOOKUP("Coord Phase",Data!$A$2419:$K$2419,5,FALSE)="On", "X", " ")</f>
        <v xml:space="preserve"> </v>
      </c>
      <c r="O19" s="1195" t="str">
        <f>IF(VLOOKUP("Coord Phase",Data!$A$2419:$K$2419,6,FALSE)="On", "X", " ")</f>
        <v xml:space="preserve"> </v>
      </c>
      <c r="P19" s="1195" t="str">
        <f>IF(VLOOKUP("Coord Phase",Data!$A$2419:$K$2419,7,FALSE)="On", "X", " ")</f>
        <v xml:space="preserve"> </v>
      </c>
      <c r="Q19" s="1195" t="str">
        <f>IF(VLOOKUP("Coord Phase",Data!$A$2419:$K$2419,8,FALSE)="On", "X", " ")</f>
        <v xml:space="preserve"> </v>
      </c>
      <c r="R19" s="1196" t="str">
        <f>IF(VLOOKUP("Coord Phase",Data!$A$2419:$K$2419,9,FALSE)="On", "X", " ")</f>
        <v xml:space="preserve"> </v>
      </c>
      <c r="S19" s="1195" t="str">
        <f>IF(VLOOKUP("Coord Phase",Data!$A$2419:$K$2419,10,FALSE)="On", "X", " ")</f>
        <v xml:space="preserve"> </v>
      </c>
      <c r="T19" s="1196" t="str">
        <f>IF(VLOOKUP("Coord Phase",Data!$A$2419:$K$2419,11,FALSE)="On", "X", " ")</f>
        <v xml:space="preserve"> </v>
      </c>
      <c r="U19" s="1703"/>
      <c r="V19" s="1754"/>
      <c r="W19" s="1757"/>
      <c r="X19" s="1760"/>
      <c r="Y19" s="1763"/>
      <c r="Z19" s="1766"/>
      <c r="AA19" s="1766"/>
      <c r="AB19" s="1769"/>
      <c r="AC19" s="1772"/>
      <c r="AD19" s="1775"/>
      <c r="AE19" s="1778"/>
      <c r="AF19" s="1778"/>
      <c r="AG19" s="1778"/>
      <c r="AH19" s="1781"/>
      <c r="AI19" s="1687"/>
    </row>
    <row r="20" spans="1:35" ht="14.25" customHeight="1" thickBot="1">
      <c r="A20" s="568" t="s">
        <v>227</v>
      </c>
      <c r="B20" s="1951" t="str">
        <f>VLOOKUP("Leave Walk Before",Data!$A:$B,2,FALSE)</f>
        <v>TIMED</v>
      </c>
      <c r="C20" s="1952"/>
      <c r="D20" s="1691"/>
      <c r="E20" s="1743"/>
      <c r="F20" s="1746"/>
      <c r="G20" s="1746"/>
      <c r="H20" s="1749"/>
      <c r="I20" s="1691"/>
      <c r="J20" s="163" t="s">
        <v>53</v>
      </c>
      <c r="K20" s="1197" t="str">
        <f>VLOOKUP("Mode",Data!$A$2420:$K$2420,2,FALSE)</f>
        <v>NON</v>
      </c>
      <c r="L20" s="1198" t="str">
        <f>VLOOKUP("Mode",Data!$A$2420:$K$2420,3,FALSE)</f>
        <v>NON</v>
      </c>
      <c r="M20" s="1198" t="str">
        <f>VLOOKUP("Mode",Data!$A$2420:$K$2420,4,FALSE)</f>
        <v>NON</v>
      </c>
      <c r="N20" s="1198" t="str">
        <f>VLOOKUP("Mode",Data!$A$2420:$K$2420,5,FALSE)</f>
        <v>NON</v>
      </c>
      <c r="O20" s="1198" t="str">
        <f>VLOOKUP("Mode",Data!$A$2420:$K$2420,6,FALSE)</f>
        <v>NON</v>
      </c>
      <c r="P20" s="1198" t="str">
        <f>VLOOKUP("Mode",Data!$A$2420:$K$2420,7,FALSE)</f>
        <v>NON</v>
      </c>
      <c r="Q20" s="1198" t="str">
        <f>VLOOKUP("Mode",Data!$A$2420:$K2420,8,FALSE)</f>
        <v>NON</v>
      </c>
      <c r="R20" s="1199" t="str">
        <f>VLOOKUP("Mode",Data!$A$2420:$K$2420,9,FALSE)</f>
        <v>NON</v>
      </c>
      <c r="S20" s="1198" t="str">
        <f>VLOOKUP("Mode",Data!$A$2420:$K2420,10,FALSE)</f>
        <v>NON</v>
      </c>
      <c r="T20" s="1199" t="str">
        <f>VLOOKUP("Mode",Data!$A$2420:$K$2420,11,FALSE)</f>
        <v>NON</v>
      </c>
      <c r="U20" s="1704"/>
      <c r="V20" s="1755"/>
      <c r="W20" s="1758"/>
      <c r="X20" s="1761"/>
      <c r="Y20" s="1764"/>
      <c r="Z20" s="1767"/>
      <c r="AA20" s="1767"/>
      <c r="AB20" s="1770"/>
      <c r="AC20" s="1773"/>
      <c r="AD20" s="1776"/>
      <c r="AE20" s="1779"/>
      <c r="AF20" s="1779"/>
      <c r="AG20" s="1779"/>
      <c r="AH20" s="1782"/>
      <c r="AI20" s="1688"/>
    </row>
    <row r="21" spans="1:35" ht="13.8" thickBot="1">
      <c r="A21" s="571" t="s">
        <v>228</v>
      </c>
      <c r="B21" s="1955" t="str">
        <f>VLOOKUP("Leave Walk After",Data!$A:$B,2,FALSE)</f>
        <v>TIMED</v>
      </c>
      <c r="C21" s="1956"/>
      <c r="D21" s="1794">
        <v>7</v>
      </c>
      <c r="E21" s="1800">
        <f>VLOOKUP("Cycle Time",Data!$A:$Y,8,FALSE)</f>
        <v>0</v>
      </c>
      <c r="F21" s="1811">
        <f>VLOOKUP("Offset Time",Data!$A:$Y,8,FALSE)</f>
        <v>0</v>
      </c>
      <c r="G21" s="1811">
        <f>VLOOKUP("Split Number",Data!$A:$Y,8,FALSE)</f>
        <v>7</v>
      </c>
      <c r="H21" s="1814">
        <f>VLOOKUP("Seq Number",Data!$A:$Y,8,FALSE)</f>
        <v>1</v>
      </c>
      <c r="I21" s="1689">
        <v>7</v>
      </c>
      <c r="J21" s="164" t="s">
        <v>216</v>
      </c>
      <c r="K21" s="673">
        <f>VLOOKUP("Time",Data!$A$2427:$K$2427,2,FALSE)</f>
        <v>0</v>
      </c>
      <c r="L21" s="674">
        <f>VLOOKUP("Time",Data!$A$2427:$K$2427,3,FALSE)</f>
        <v>0</v>
      </c>
      <c r="M21" s="674">
        <f>VLOOKUP("Time",Data!$A$2427:$K$2427,4,FALSE)</f>
        <v>0</v>
      </c>
      <c r="N21" s="674">
        <f>VLOOKUP("Time",Data!$A$2427:$K$2427,5,FALSE)</f>
        <v>0</v>
      </c>
      <c r="O21" s="674">
        <f>VLOOKUP("Time",Data!$A$2427:$K$2427,6,FALSE)</f>
        <v>0</v>
      </c>
      <c r="P21" s="674">
        <f>VLOOKUP("Time",Data!$A$2427:$K$2427,7,FALSE)</f>
        <v>0</v>
      </c>
      <c r="Q21" s="674">
        <f>VLOOKUP("Time",Data!$A$2427:$K$2427,8,FALSE)</f>
        <v>0</v>
      </c>
      <c r="R21" s="1115">
        <f>VLOOKUP("Time",Data!$A$2427:$K$2427,9,FALSE)</f>
        <v>0</v>
      </c>
      <c r="S21" s="674">
        <f>VLOOKUP("Time",Data!$A$2427:$K$2427,10,FALSE)</f>
        <v>0</v>
      </c>
      <c r="T21" s="1115">
        <f>VLOOKUP("Time",Data!$A$2427:$K$2427,11,FALSE)</f>
        <v>0</v>
      </c>
      <c r="U21" s="1751">
        <v>7</v>
      </c>
      <c r="V21" s="1797">
        <f>VLOOKUP("Short",Data!$A$1282:$AG$1282,8,FALSE)</f>
        <v>10</v>
      </c>
      <c r="W21" s="1879">
        <f>VLOOKUP("Long",Data!$A$1260:$AG1260,8,FALSE)</f>
        <v>25</v>
      </c>
      <c r="X21" s="1880">
        <f>VLOOKUP("Dwell",Data!$A$1256:$AG1274,8,FALSE)</f>
        <v>0</v>
      </c>
      <c r="Y21" s="1881">
        <f>VLOOKUP("No Short P 1",Data!$A$1265:$AG1283,8,FALSE)</f>
        <v>0</v>
      </c>
      <c r="Z21" s="1882">
        <f>VLOOKUP("No Short P 2",Data!$A$1266:$AG1284,8,FALSE)</f>
        <v>0</v>
      </c>
      <c r="AA21" s="1882">
        <f>VLOOKUP("No Short P 3",Data!$A$1267:$AG1285,8,FALSE)</f>
        <v>0</v>
      </c>
      <c r="AB21" s="1883">
        <f>VLOOKUP("No Short P 4",Data!$A$1268:$AG1286,8,FALSE)</f>
        <v>0</v>
      </c>
      <c r="AC21" s="1884">
        <f>VLOOKUP("Early Yield",Data!$A$1257:$AG1275,8,FALSE)</f>
        <v>0</v>
      </c>
      <c r="AD21" s="1885" t="str">
        <f>VLOOKUP("Offset",Data!$A$1269:$AG1287,8,FALSE)</f>
        <v>EndGRN</v>
      </c>
      <c r="AE21" s="1874" t="str">
        <f>IF(VLOOKUP("Ret Hold",Data!$A$1281:$AG1299,8,FALSE)= "On", "X", "-")</f>
        <v>-</v>
      </c>
      <c r="AF21" s="1874" t="str">
        <f>IF(VLOOKUP("Float",Data!$A$1258:$AG1276,8,FALSE)= "On", "X", "-")</f>
        <v>-</v>
      </c>
      <c r="AG21" s="1874" t="str">
        <f>IF(VLOOKUP("Min Veh Perm",Data!$A$1264:$AG1282,8,FALSE)= "ON", "X", "-")</f>
        <v>-</v>
      </c>
      <c r="AH21" s="1875" t="str">
        <f>IF(VLOOKUP("Min Ped Perm",Data!$A$1263:$AG1281,8,FALSE)= "ON", "X", "-")</f>
        <v>X</v>
      </c>
      <c r="AI21" s="1878" t="str">
        <f>VLOOKUP("MI",Data!$A$1259:$AG1277,8,FALSE)</f>
        <v>OFF</v>
      </c>
    </row>
    <row r="22" spans="1:35">
      <c r="A22" s="1932" t="str">
        <f>Data!B124</f>
        <v>Alpha @ Beta</v>
      </c>
      <c r="B22" s="2677" t="s">
        <v>4000</v>
      </c>
      <c r="C22" s="2678"/>
      <c r="D22" s="1795"/>
      <c r="E22" s="1801"/>
      <c r="F22" s="1812"/>
      <c r="G22" s="1812"/>
      <c r="H22" s="1815"/>
      <c r="I22" s="1690"/>
      <c r="J22" s="160" t="s">
        <v>646</v>
      </c>
      <c r="K22" s="669" t="str">
        <f>IF(VLOOKUP("Coord Phase",Data!$A$2425:$K$2425,2,FALSE)="On", "X", " ")</f>
        <v xml:space="preserve"> </v>
      </c>
      <c r="L22" s="670" t="str">
        <f>IF(VLOOKUP("Coord Phase",Data!$A$2425:$K$2425,3,FALSE)="On", "X", " ")</f>
        <v xml:space="preserve"> </v>
      </c>
      <c r="M22" s="670" t="str">
        <f>IF(VLOOKUP("Coord Phase",Data!$A$2425:$K$2425,4,FALSE)="On", "X", " ")</f>
        <v xml:space="preserve"> </v>
      </c>
      <c r="N22" s="670" t="str">
        <f>IF(VLOOKUP("Coord Phase",Data!$A$2425:$K$2425,5,FALSE)="On", "X", " ")</f>
        <v xml:space="preserve"> </v>
      </c>
      <c r="O22" s="670" t="str">
        <f>IF(VLOOKUP("Coord Phase",Data!$A$2425:$K$2425,6,FALSE)="On", "X", " ")</f>
        <v xml:space="preserve"> </v>
      </c>
      <c r="P22" s="670" t="str">
        <f>IF(VLOOKUP("Coord Phase",Data!$A$2425:$K$2425,7,FALSE)="On", "X", " ")</f>
        <v xml:space="preserve"> </v>
      </c>
      <c r="Q22" s="670" t="str">
        <f>IF(VLOOKUP("Coord Phase",Data!$A$2425:$K$2425,8,FALSE)="On", "X", " ")</f>
        <v xml:space="preserve"> </v>
      </c>
      <c r="R22" s="1113" t="str">
        <f>IF(VLOOKUP("Coord Phase",Data!$A$2425:$K$2425,9,FALSE)="On", "X", " ")</f>
        <v xml:space="preserve"> </v>
      </c>
      <c r="S22" s="670" t="str">
        <f>IF(VLOOKUP("Coord Phase",Data!$A$2425:$K$2425,10,FALSE)="On", "X", " ")</f>
        <v xml:space="preserve"> </v>
      </c>
      <c r="T22" s="1113" t="str">
        <f>IF(VLOOKUP("Coord Phase",Data!$A$2425:$K$2425,11,FALSE)="On", "X", " ")</f>
        <v xml:space="preserve"> </v>
      </c>
      <c r="U22" s="1703"/>
      <c r="V22" s="1798"/>
      <c r="W22" s="1860"/>
      <c r="X22" s="1863"/>
      <c r="Y22" s="1866"/>
      <c r="Z22" s="1514"/>
      <c r="AA22" s="1514"/>
      <c r="AB22" s="1856"/>
      <c r="AC22" s="1845"/>
      <c r="AD22" s="1848"/>
      <c r="AE22" s="1825"/>
      <c r="AF22" s="1825"/>
      <c r="AG22" s="1825"/>
      <c r="AH22" s="1851"/>
      <c r="AI22" s="1842"/>
    </row>
    <row r="23" spans="1:35" ht="13.8" thickBot="1">
      <c r="A23" s="1933"/>
      <c r="B23" s="2677"/>
      <c r="C23" s="2678"/>
      <c r="D23" s="1796"/>
      <c r="E23" s="1802"/>
      <c r="F23" s="1813"/>
      <c r="G23" s="1813"/>
      <c r="H23" s="1816"/>
      <c r="I23" s="1750"/>
      <c r="J23" s="161" t="s">
        <v>53</v>
      </c>
      <c r="K23" s="675" t="str">
        <f>VLOOKUP("Mode",Data!$A$2426:$K$2426,2,FALSE)</f>
        <v>NON</v>
      </c>
      <c r="L23" s="676" t="str">
        <f>VLOOKUP("Mode",Data!$A$2426:$K$2426,3,FALSE)</f>
        <v>NON</v>
      </c>
      <c r="M23" s="676" t="str">
        <f>VLOOKUP("Mode",Data!$A$2426:$K$2426,4,FALSE)</f>
        <v>NON</v>
      </c>
      <c r="N23" s="676" t="str">
        <f>VLOOKUP("Mode",Data!$A$2426:$K$2426,5,FALSE)</f>
        <v>NON</v>
      </c>
      <c r="O23" s="676" t="str">
        <f>VLOOKUP("Mode",Data!$A$2426:$K$2426,6,FALSE)</f>
        <v>NON</v>
      </c>
      <c r="P23" s="676" t="str">
        <f>VLOOKUP("Mode",Data!$A$2426:$K$2426,7,FALSE)</f>
        <v>NON</v>
      </c>
      <c r="Q23" s="676" t="str">
        <f>VLOOKUP("Mode",Data!$A$2426:$K$2426,8,FALSE)</f>
        <v>NON</v>
      </c>
      <c r="R23" s="1116" t="str">
        <f>VLOOKUP("Mode",Data!$A$2426:$K$2426,9,FALSE)</f>
        <v>NON</v>
      </c>
      <c r="S23" s="676" t="str">
        <f>VLOOKUP("Mode",Data!$A$2426:$K$2426,10,FALSE)</f>
        <v>NON</v>
      </c>
      <c r="T23" s="1116" t="str">
        <f>VLOOKUP("Mode",Data!$A$2426:$K$2426,11,FALSE)</f>
        <v>NON</v>
      </c>
      <c r="U23" s="1752"/>
      <c r="V23" s="1799"/>
      <c r="W23" s="1861"/>
      <c r="X23" s="1864"/>
      <c r="Y23" s="1867"/>
      <c r="Z23" s="1854"/>
      <c r="AA23" s="1854"/>
      <c r="AB23" s="1857"/>
      <c r="AC23" s="1846"/>
      <c r="AD23" s="1849"/>
      <c r="AE23" s="1826"/>
      <c r="AF23" s="1826"/>
      <c r="AG23" s="1826"/>
      <c r="AH23" s="1852"/>
      <c r="AI23" s="1843"/>
    </row>
    <row r="24" spans="1:35">
      <c r="A24" s="1933"/>
      <c r="B24" s="2677"/>
      <c r="C24" s="2678"/>
      <c r="D24" s="1701">
        <v>8</v>
      </c>
      <c r="E24" s="1741">
        <f>VLOOKUP("Cycle Time",Data!$A:$Y,9,FALSE)</f>
        <v>0</v>
      </c>
      <c r="F24" s="1744">
        <f>VLOOKUP("Offset Time",Data!$A:$Y,9,FALSE)</f>
        <v>0</v>
      </c>
      <c r="G24" s="1744">
        <f>VLOOKUP("Split Number",Data!$A:$Y,9,FALSE)</f>
        <v>8</v>
      </c>
      <c r="H24" s="1747">
        <f>VLOOKUP("Seq Number",Data!$A:$Y,9,FALSE)</f>
        <v>1</v>
      </c>
      <c r="I24" s="1701">
        <v>8</v>
      </c>
      <c r="J24" s="162" t="s">
        <v>216</v>
      </c>
      <c r="K24" s="1200">
        <f>VLOOKUP("Time",Data!$A$2433:$K$2433,2,FALSE)</f>
        <v>0</v>
      </c>
      <c r="L24" s="1201">
        <f>VLOOKUP("Time",Data!$A$2433:$K$2433,3,FALSE)</f>
        <v>0</v>
      </c>
      <c r="M24" s="1201">
        <f>VLOOKUP("Time",Data!$A$2433:$K$2433,4,FALSE)</f>
        <v>0</v>
      </c>
      <c r="N24" s="1201">
        <f>VLOOKUP("Time",Data!$A$2433:$K$2433,5,FALSE)</f>
        <v>0</v>
      </c>
      <c r="O24" s="1201">
        <f>VLOOKUP("Time",Data!$A$2433:$K$2433,6,FALSE)</f>
        <v>0</v>
      </c>
      <c r="P24" s="1201">
        <f>VLOOKUP("Time",Data!$A$2433:$K$2433,7,FALSE)</f>
        <v>0</v>
      </c>
      <c r="Q24" s="1201">
        <f>VLOOKUP("Time",Data!$A$2433:$K$2433,8,FALSE)</f>
        <v>0</v>
      </c>
      <c r="R24" s="1202">
        <f>VLOOKUP("Time",Data!$A$2433:$K$2433,9,FALSE)</f>
        <v>0</v>
      </c>
      <c r="S24" s="1201">
        <f>VLOOKUP("Time",Data!$A$2433:$K$2433,10,FALSE)</f>
        <v>0</v>
      </c>
      <c r="T24" s="1202">
        <f>VLOOKUP("Time",Data!$A$2433:$K$2433,11,FALSE)</f>
        <v>0</v>
      </c>
      <c r="U24" s="1702">
        <v>8</v>
      </c>
      <c r="V24" s="1753">
        <f>VLOOKUP("Short",Data!$A$1282:$AG$1282,9,FALSE)</f>
        <v>10</v>
      </c>
      <c r="W24" s="1756">
        <f>VLOOKUP("Long",Data!$A$1260:$AG1260,9,FALSE)</f>
        <v>25</v>
      </c>
      <c r="X24" s="1759">
        <f>VLOOKUP("Dwell",Data!$A$1256:$AG1277,9,FALSE)</f>
        <v>0</v>
      </c>
      <c r="Y24" s="1762">
        <f>VLOOKUP("No Short P 1",Data!$A$1265:$AG1286,9,FALSE)</f>
        <v>0</v>
      </c>
      <c r="Z24" s="1765">
        <f>VLOOKUP("No Short P 2",Data!$A$1266:$AG1287,9,FALSE)</f>
        <v>0</v>
      </c>
      <c r="AA24" s="1765">
        <f>VLOOKUP("No Short P 3",Data!$A$1267:$AG1288,9,FALSE)</f>
        <v>0</v>
      </c>
      <c r="AB24" s="1768">
        <f>VLOOKUP("No Short P 4",Data!$A$1268:$AG1289,9,FALSE)</f>
        <v>0</v>
      </c>
      <c r="AC24" s="1771">
        <f>VLOOKUP("Early Yield",Data!$A$1257:$AG1278,9,FALSE)</f>
        <v>0</v>
      </c>
      <c r="AD24" s="1774" t="str">
        <f>VLOOKUP("Offset",Data!$A$1269:$AG1290,9,FALSE)</f>
        <v>EndGRN</v>
      </c>
      <c r="AE24" s="1777" t="str">
        <f>IF(VLOOKUP("Ret Hold",Data!$A$1281:$AG1302,9,FALSE)= "On", "X", "-")</f>
        <v>-</v>
      </c>
      <c r="AF24" s="1777" t="str">
        <f>IF(VLOOKUP("Float",Data!$A$1258:$AG1279,9,FALSE)= "On", "X", "-")</f>
        <v>-</v>
      </c>
      <c r="AG24" s="1777" t="str">
        <f>IF(VLOOKUP("Min Veh Perm",Data!$A$1264:$AG1285,9,FALSE)= "ON", "X", "-")</f>
        <v>-</v>
      </c>
      <c r="AH24" s="1780" t="str">
        <f>IF(VLOOKUP("Min Ped Perm",Data!$A$1263:$AG1284,9,FALSE)= "ON", "X", "-")</f>
        <v>X</v>
      </c>
      <c r="AI24" s="1686" t="str">
        <f>VLOOKUP("MI",Data!$A$1259:$AG1280,9,FALSE)</f>
        <v>OFF</v>
      </c>
    </row>
    <row r="25" spans="1:35">
      <c r="A25" s="1933"/>
      <c r="B25" s="2677"/>
      <c r="C25" s="2678"/>
      <c r="D25" s="1690"/>
      <c r="E25" s="1742"/>
      <c r="F25" s="1745"/>
      <c r="G25" s="1745"/>
      <c r="H25" s="1748"/>
      <c r="I25" s="1690"/>
      <c r="J25" s="160" t="s">
        <v>646</v>
      </c>
      <c r="K25" s="1194" t="str">
        <f>IF(VLOOKUP("Coord Phase",Data!$A$2431:$K$2431,2,FALSE)="On", "X", " ")</f>
        <v xml:space="preserve"> </v>
      </c>
      <c r="L25" s="1195" t="str">
        <f>IF(VLOOKUP("Coord Phase",Data!$A$2431:$K$2431,3,FALSE)="On", "X", " ")</f>
        <v xml:space="preserve"> </v>
      </c>
      <c r="M25" s="1195" t="str">
        <f>IF(VLOOKUP("Coord Phase",Data!$A$2431:$K$2431,4,FALSE)="On", "X", " ")</f>
        <v xml:space="preserve"> </v>
      </c>
      <c r="N25" s="1195" t="str">
        <f>IF(VLOOKUP("Coord Phase",Data!$A$2431:$K$2431,5,FALSE)="On", "X", " ")</f>
        <v xml:space="preserve"> </v>
      </c>
      <c r="O25" s="1195" t="str">
        <f>IF(VLOOKUP("Coord Phase",Data!$A$2431:$K$2431,6,FALSE)="On", "X", " ")</f>
        <v xml:space="preserve"> </v>
      </c>
      <c r="P25" s="1195" t="str">
        <f>IF(VLOOKUP("Coord Phase",Data!$A$2431:$K$2431,7,FALSE)="On", "X", " ")</f>
        <v xml:space="preserve"> </v>
      </c>
      <c r="Q25" s="1195" t="str">
        <f>IF(VLOOKUP("Coord Phase",Data!$A$2431:$K$2431,8,FALSE)="On", "X", " ")</f>
        <v xml:space="preserve"> </v>
      </c>
      <c r="R25" s="1196" t="str">
        <f>IF(VLOOKUP("Coord Phase",Data!$A$2431:$K$2431,9,FALSE)="On", "X", " ")</f>
        <v xml:space="preserve"> </v>
      </c>
      <c r="S25" s="1195" t="str">
        <f>IF(VLOOKUP("Coord Phase",Data!$A$2431:$K$2431,10,FALSE)="On", "X", " ")</f>
        <v xml:space="preserve"> </v>
      </c>
      <c r="T25" s="1196" t="str">
        <f>IF(VLOOKUP("Coord Phase",Data!$A$2431:$K$2431,11,FALSE)="On", "X", " ")</f>
        <v xml:space="preserve"> </v>
      </c>
      <c r="U25" s="1703"/>
      <c r="V25" s="1754"/>
      <c r="W25" s="1757"/>
      <c r="X25" s="1760"/>
      <c r="Y25" s="1763"/>
      <c r="Z25" s="1766"/>
      <c r="AA25" s="1766"/>
      <c r="AB25" s="1769"/>
      <c r="AC25" s="1772"/>
      <c r="AD25" s="1775"/>
      <c r="AE25" s="1778"/>
      <c r="AF25" s="1778"/>
      <c r="AG25" s="1778"/>
      <c r="AH25" s="1781"/>
      <c r="AI25" s="1687"/>
    </row>
    <row r="26" spans="1:35" ht="13.8" thickBot="1">
      <c r="A26" s="1933"/>
      <c r="B26" s="2677"/>
      <c r="C26" s="2678"/>
      <c r="D26" s="1691"/>
      <c r="E26" s="1743"/>
      <c r="F26" s="1746"/>
      <c r="G26" s="1746"/>
      <c r="H26" s="1749"/>
      <c r="I26" s="1691"/>
      <c r="J26" s="163" t="s">
        <v>53</v>
      </c>
      <c r="K26" s="1197" t="str">
        <f>VLOOKUP("Mode",Data!$A$2432:$K$2432,2,FALSE)</f>
        <v>NON</v>
      </c>
      <c r="L26" s="1198" t="str">
        <f>VLOOKUP("Mode",Data!$A$2432:$K$2432,3,FALSE)</f>
        <v>NON</v>
      </c>
      <c r="M26" s="1198" t="str">
        <f>VLOOKUP("Mode",Data!$A$2432:$K$2432,4,FALSE)</f>
        <v>NON</v>
      </c>
      <c r="N26" s="1198" t="str">
        <f>VLOOKUP("Mode",Data!$A$2432:$K$2432,5,FALSE)</f>
        <v>NON</v>
      </c>
      <c r="O26" s="1198" t="str">
        <f>VLOOKUP("Mode",Data!$A$2432:$K$2432,6,FALSE)</f>
        <v>NON</v>
      </c>
      <c r="P26" s="1198" t="str">
        <f>VLOOKUP("Mode",Data!$A$2432:$K$2432,7,FALSE)</f>
        <v>NON</v>
      </c>
      <c r="Q26" s="1198" t="str">
        <f>VLOOKUP("Mode",Data!$A$2432:$K$2432,8,FALSE)</f>
        <v>NON</v>
      </c>
      <c r="R26" s="1199" t="str">
        <f>VLOOKUP("Mode",Data!$A$2432:$K$2432,9,FALSE)</f>
        <v>NON</v>
      </c>
      <c r="S26" s="1198" t="str">
        <f>VLOOKUP("Mode",Data!$A$2432:$K$2432,10,FALSE)</f>
        <v>NON</v>
      </c>
      <c r="T26" s="1199" t="str">
        <f>VLOOKUP("Mode",Data!$A$2432:$K$2432,11,FALSE)</f>
        <v>NON</v>
      </c>
      <c r="U26" s="1704"/>
      <c r="V26" s="1755"/>
      <c r="W26" s="1758"/>
      <c r="X26" s="1761"/>
      <c r="Y26" s="1764"/>
      <c r="Z26" s="1767"/>
      <c r="AA26" s="1767"/>
      <c r="AB26" s="1770"/>
      <c r="AC26" s="1773"/>
      <c r="AD26" s="1776"/>
      <c r="AE26" s="1779"/>
      <c r="AF26" s="1779"/>
      <c r="AG26" s="1779"/>
      <c r="AH26" s="1782"/>
      <c r="AI26" s="1688"/>
    </row>
    <row r="27" spans="1:35">
      <c r="A27" s="1933"/>
      <c r="B27" s="2677"/>
      <c r="C27" s="2678"/>
      <c r="D27" s="1794">
        <v>9</v>
      </c>
      <c r="E27" s="1800">
        <f>VLOOKUP("Cycle Time",Data!$A:$Y,10,FALSE)</f>
        <v>0</v>
      </c>
      <c r="F27" s="1811">
        <f>VLOOKUP("Offset Time",Data!$A:$Y,10,FALSE)</f>
        <v>0</v>
      </c>
      <c r="G27" s="1811">
        <f>VLOOKUP("Split Number",Data!$A:$Y,10,FALSE)</f>
        <v>9</v>
      </c>
      <c r="H27" s="1814">
        <f>VLOOKUP("Seq Number",Data!$A:$Y,10,FALSE)</f>
        <v>1</v>
      </c>
      <c r="I27" s="1689">
        <v>9</v>
      </c>
      <c r="J27" s="164" t="s">
        <v>216</v>
      </c>
      <c r="K27" s="677">
        <f>VLOOKUP("Time",Data!$A$2439:$K$2439,2,FALSE)</f>
        <v>30</v>
      </c>
      <c r="L27" s="680">
        <f>VLOOKUP("Time",Data!$A$2439:$K$2439,3,FALSE)</f>
        <v>40</v>
      </c>
      <c r="M27" s="683">
        <f>VLOOKUP("Time",Data!$A$2439:$K$2439,4,FALSE)</f>
        <v>35</v>
      </c>
      <c r="N27" s="680">
        <f>VLOOKUP("Time",Data!$A$2439:$K$2439,5,FALSE)</f>
        <v>55</v>
      </c>
      <c r="O27" s="683">
        <f>VLOOKUP("Time",Data!$A$2439:$K$2439,6,FALSE)</f>
        <v>40</v>
      </c>
      <c r="P27" s="680">
        <f>VLOOKUP("Time",Data!$A$2439:$K$2439,7,FALSE)</f>
        <v>40</v>
      </c>
      <c r="Q27" s="680">
        <f>VLOOKUP("Time",Data!$A$2439:$K$2439,8,FALSE)</f>
        <v>35</v>
      </c>
      <c r="R27" s="683">
        <f>VLOOKUP("Time",Data!$A$2439:$K$2439,9,FALSE)</f>
        <v>55</v>
      </c>
      <c r="S27" s="680">
        <f>VLOOKUP("Time",Data!$A$2439:$K$2439,10,FALSE)</f>
        <v>0</v>
      </c>
      <c r="T27" s="683">
        <f>VLOOKUP("Time",Data!$A$2439:$K$2439,11,FALSE)</f>
        <v>0</v>
      </c>
      <c r="U27" s="1751">
        <v>9</v>
      </c>
      <c r="V27" s="1904">
        <f>VLOOKUP("Short",Data!$A$1282:$AG$1282,10,FALSE)</f>
        <v>10</v>
      </c>
      <c r="W27" s="1918">
        <f>VLOOKUP("Long",Data!$A$1260:$AG1260,10,FALSE)</f>
        <v>25</v>
      </c>
      <c r="X27" s="1920">
        <f>VLOOKUP("Dwell",Data!$A$1256:$AG1280,10,FALSE)</f>
        <v>0</v>
      </c>
      <c r="Y27" s="1922">
        <f>VLOOKUP("No Short P 1",Data!$A$1265:$AG1289,10,FALSE)</f>
        <v>0</v>
      </c>
      <c r="Z27" s="1924">
        <f>VLOOKUP("No Short P 2",Data!$A$1266:$AG1290,10,FALSE)</f>
        <v>0</v>
      </c>
      <c r="AA27" s="1924">
        <f>VLOOKUP("No Short P 3",Data!$A$1267:$AG1291,10,FALSE)</f>
        <v>0</v>
      </c>
      <c r="AB27" s="1914">
        <f>VLOOKUP("No Short P 4",Data!$A$1268:$AG1292,10,FALSE)</f>
        <v>0</v>
      </c>
      <c r="AC27" s="1910">
        <f>VLOOKUP("Early Yield",Data!$A$1257:$AG1281,10,FALSE)</f>
        <v>0</v>
      </c>
      <c r="AD27" s="1912" t="str">
        <f>VLOOKUP("Offset",Data!$A$1269:$AG1293,10,FALSE)</f>
        <v>EndGRN</v>
      </c>
      <c r="AE27" s="1894" t="str">
        <f>IF(VLOOKUP("Ret Hold",Data!$A$1281:$AG1305,10,FALSE)= "On", "X", "-")</f>
        <v>-</v>
      </c>
      <c r="AF27" s="1894" t="str">
        <f>IF(VLOOKUP("Float",Data!$A$1258:$AG1282,10,FALSE)= "On", "X", "-")</f>
        <v>-</v>
      </c>
      <c r="AG27" s="1894" t="str">
        <f>IF(VLOOKUP("Min Veh Perm",Data!$A$1264:$AG1288,10,FALSE)= "ON", "X", "-")</f>
        <v>-</v>
      </c>
      <c r="AH27" s="1926" t="str">
        <f>IF(VLOOKUP("Min Ped Perm",Data!$A$1263:$AG1287,10,FALSE)= "ON", "X", "-")</f>
        <v>-</v>
      </c>
      <c r="AI27" s="1916" t="str">
        <f>VLOOKUP("MI",Data!$A$1259:$AG1283,10,FALSE)</f>
        <v>OFF</v>
      </c>
    </row>
    <row r="28" spans="1:35">
      <c r="A28" s="1933"/>
      <c r="B28" s="2677"/>
      <c r="C28" s="2678"/>
      <c r="D28" s="1795"/>
      <c r="E28" s="1801"/>
      <c r="F28" s="1812"/>
      <c r="G28" s="1812"/>
      <c r="H28" s="1815"/>
      <c r="I28" s="1690"/>
      <c r="J28" s="160" t="s">
        <v>646</v>
      </c>
      <c r="K28" s="678" t="str">
        <f>IF(VLOOKUP("Coord Phase",Data!$A$2437:$K$2437,2,FALSE)="On", "X", " ")</f>
        <v xml:space="preserve"> </v>
      </c>
      <c r="L28" s="681" t="str">
        <f>IF(VLOOKUP("Coord Phase",Data!$A$2437:$K$2437,3,FALSE)="On", "X", " ")</f>
        <v xml:space="preserve"> </v>
      </c>
      <c r="M28" s="684" t="str">
        <f>IF(VLOOKUP("Coord Phase",Data!$A$2437:$K$2437,4,FALSE)="On", "X", " ")</f>
        <v xml:space="preserve"> </v>
      </c>
      <c r="N28" s="681" t="str">
        <f>IF(VLOOKUP("Coord Phase",Data!$A$2437:$K$2437,5,FALSE)="On", "X", " ")</f>
        <v xml:space="preserve"> </v>
      </c>
      <c r="O28" s="684" t="str">
        <f>IF(VLOOKUP("Coord Phase",Data!$A$2437:$K$2437,6,FALSE)="On", "X", " ")</f>
        <v xml:space="preserve"> </v>
      </c>
      <c r="P28" s="681" t="str">
        <f>IF(VLOOKUP("Coord Phase",Data!$A$2437:$K$2437,7,FALSE)="On", "X", " ")</f>
        <v xml:space="preserve"> </v>
      </c>
      <c r="Q28" s="681" t="str">
        <f>IF(VLOOKUP("Coord Phase",Data!$A$2437:$K$2437,8,FALSE)="On", "X", " ")</f>
        <v xml:space="preserve"> </v>
      </c>
      <c r="R28" s="684" t="str">
        <f>IF(VLOOKUP("Coord Phase",Data!$A$2437:$K$2437,9,FALSE)="On", "X", " ")</f>
        <v xml:space="preserve"> </v>
      </c>
      <c r="S28" s="681" t="str">
        <f>IF(VLOOKUP("Coord Phase",Data!$A$2437:$K$2437,10,FALSE)="On", "X", " ")</f>
        <v xml:space="preserve"> </v>
      </c>
      <c r="T28" s="684" t="str">
        <f>IF(VLOOKUP("Coord Phase",Data!$A$2437:$K$2437,11,FALSE)="On", "X", " ")</f>
        <v xml:space="preserve"> </v>
      </c>
      <c r="U28" s="1703"/>
      <c r="V28" s="1798"/>
      <c r="W28" s="1860"/>
      <c r="X28" s="1863"/>
      <c r="Y28" s="1866"/>
      <c r="Z28" s="1514"/>
      <c r="AA28" s="1514"/>
      <c r="AB28" s="1856"/>
      <c r="AC28" s="1845"/>
      <c r="AD28" s="1848"/>
      <c r="AE28" s="1825"/>
      <c r="AF28" s="1825"/>
      <c r="AG28" s="1825"/>
      <c r="AH28" s="1851"/>
      <c r="AI28" s="1842"/>
    </row>
    <row r="29" spans="1:35" ht="13.8" thickBot="1">
      <c r="A29" s="1933"/>
      <c r="B29" s="2677"/>
      <c r="C29" s="2678"/>
      <c r="D29" s="1796"/>
      <c r="E29" s="1802"/>
      <c r="F29" s="1813"/>
      <c r="G29" s="1813"/>
      <c r="H29" s="1816"/>
      <c r="I29" s="1750"/>
      <c r="J29" s="161" t="s">
        <v>53</v>
      </c>
      <c r="K29" s="679" t="str">
        <f>VLOOKUP("Mode",Data!$A$2438:$K$2438,2,FALSE)</f>
        <v>NON</v>
      </c>
      <c r="L29" s="682" t="str">
        <f>VLOOKUP("Mode",Data!$A$2438:$K$2438,3,FALSE)</f>
        <v>NON</v>
      </c>
      <c r="M29" s="685" t="str">
        <f>VLOOKUP("Mode",Data!$A$2438:$K$2438,4,FALSE)</f>
        <v>NON</v>
      </c>
      <c r="N29" s="682" t="str">
        <f>VLOOKUP("Mode",Data!$A$2438:$K$2438,5,FALSE)</f>
        <v>NON</v>
      </c>
      <c r="O29" s="685" t="str">
        <f>VLOOKUP("Mode",Data!$A$2438:$K$2438,6,FALSE)</f>
        <v>NON</v>
      </c>
      <c r="P29" s="682" t="str">
        <f>VLOOKUP("Mode",Data!$A$2438:$K$2438,7,FALSE)</f>
        <v>NON</v>
      </c>
      <c r="Q29" s="682" t="str">
        <f>VLOOKUP("Mode",Data!$A$2438:$K$2438,8,FALSE)</f>
        <v>NON</v>
      </c>
      <c r="R29" s="685" t="str">
        <f>VLOOKUP("Mode",Data!$A$2438:$K$2438,9,FALSE)</f>
        <v>NON</v>
      </c>
      <c r="S29" s="682" t="str">
        <f>VLOOKUP("Mode",Data!$A$2438:$K$2438,10,FALSE)</f>
        <v>NON</v>
      </c>
      <c r="T29" s="685" t="str">
        <f>VLOOKUP("Mode",Data!$A$2438:$K$2438,11,FALSE)</f>
        <v>NON</v>
      </c>
      <c r="U29" s="1752"/>
      <c r="V29" s="1905"/>
      <c r="W29" s="1919"/>
      <c r="X29" s="1921"/>
      <c r="Y29" s="1923"/>
      <c r="Z29" s="1925"/>
      <c r="AA29" s="1925"/>
      <c r="AB29" s="1915"/>
      <c r="AC29" s="1911"/>
      <c r="AD29" s="1913"/>
      <c r="AE29" s="1895"/>
      <c r="AF29" s="1895"/>
      <c r="AG29" s="1895"/>
      <c r="AH29" s="1927"/>
      <c r="AI29" s="1917"/>
    </row>
    <row r="30" spans="1:35">
      <c r="A30" s="1933"/>
      <c r="B30" s="2677"/>
      <c r="C30" s="2678"/>
      <c r="D30" s="1701">
        <v>10</v>
      </c>
      <c r="E30" s="1741">
        <f>VLOOKUP("Cycle Time",Data!$A:$Y,11,FALSE)</f>
        <v>0</v>
      </c>
      <c r="F30" s="1744">
        <f>VLOOKUP("Offset Time",Data!$A:$Y,11,FALSE)</f>
        <v>0</v>
      </c>
      <c r="G30" s="1744">
        <f>VLOOKUP("Split Number",Data!$A:$Y,11,FALSE)</f>
        <v>10</v>
      </c>
      <c r="H30" s="1747">
        <f>VLOOKUP("Seq Number",Data!$A:$Y,11,FALSE)</f>
        <v>1</v>
      </c>
      <c r="I30" s="1701">
        <v>10</v>
      </c>
      <c r="J30" s="162" t="s">
        <v>216</v>
      </c>
      <c r="K30" s="1203">
        <f>VLOOKUP("Time",Data!$A$2445:$K$2445,2,FALSE)</f>
        <v>0</v>
      </c>
      <c r="L30" s="1183">
        <f>VLOOKUP("Time",Data!$A$2445:$K$2445,3,FALSE)</f>
        <v>0</v>
      </c>
      <c r="M30" s="1204">
        <f>VLOOKUP("Time",Data!$A$2445:$K$2445,4,FALSE)</f>
        <v>0</v>
      </c>
      <c r="N30" s="1205">
        <f>VLOOKUP("Time",Data!$A$2445:$K$2445,5,FALSE)</f>
        <v>0</v>
      </c>
      <c r="O30" s="1204">
        <f>VLOOKUP("Time",Data!$A$2445:$K$2445,6,FALSE)</f>
        <v>0</v>
      </c>
      <c r="P30" s="1183">
        <f>VLOOKUP("Time",Data!$A$2445:$K$2445,7,FALSE)</f>
        <v>0</v>
      </c>
      <c r="Q30" s="1183">
        <f>VLOOKUP("Time",Data!$A$2445:$K$2445,8,FALSE)</f>
        <v>0</v>
      </c>
      <c r="R30" s="1204">
        <f>VLOOKUP("Time",Data!$A$2445:$K$2445,9,FALSE)</f>
        <v>0</v>
      </c>
      <c r="S30" s="1183">
        <f>VLOOKUP("Time",Data!$A$2445:$K$2445,10,FALSE)</f>
        <v>0</v>
      </c>
      <c r="T30" s="1204">
        <f>VLOOKUP("Time",Data!$A$2445:$K$2445,11,FALSE)</f>
        <v>0</v>
      </c>
      <c r="U30" s="1702">
        <v>10</v>
      </c>
      <c r="V30" s="1908">
        <f>VLOOKUP("Short",Data!$A$1282:$AG$1282,11,FALSE)</f>
        <v>10</v>
      </c>
      <c r="W30" s="1896">
        <f>VLOOKUP("Long",Data!$A$1260:$AG1260,11,FALSE)</f>
        <v>25</v>
      </c>
      <c r="X30" s="1898">
        <f>VLOOKUP("Dwell",Data!$A$1256:$AG1283,11,FALSE)</f>
        <v>0</v>
      </c>
      <c r="Y30" s="1900">
        <f>VLOOKUP("No Short P 1",Data!$A$1265:$AG1292,11,FALSE)</f>
        <v>0</v>
      </c>
      <c r="Z30" s="1902">
        <f>VLOOKUP("No Short P 2",Data!$A$1266:$AG1293,11,FALSE)</f>
        <v>0</v>
      </c>
      <c r="AA30" s="1902">
        <f>VLOOKUP("No Short P 3",Data!$A$1267:$AG1294,11,FALSE)</f>
        <v>0</v>
      </c>
      <c r="AB30" s="1888">
        <f>VLOOKUP("No Short P 4",Data!$A$1268:$AG1295,11,FALSE)</f>
        <v>0</v>
      </c>
      <c r="AC30" s="1906">
        <f>VLOOKUP("Early Yield",Data!$A$1257:$AG1284,11,FALSE)</f>
        <v>0</v>
      </c>
      <c r="AD30" s="1890" t="str">
        <f>VLOOKUP("Offset",Data!$A$1269:$AG1296,11,FALSE)</f>
        <v>EndGRN</v>
      </c>
      <c r="AE30" s="1892" t="str">
        <f>IF(VLOOKUP("Ret Hold",Data!$A$1281:$AG1308,11,FALSE)= "On", "X", "-")</f>
        <v>-</v>
      </c>
      <c r="AF30" s="1892" t="str">
        <f>IF(VLOOKUP("Float",Data!$A$1258:$AG1285,11,FALSE)= "On", "X", "-")</f>
        <v>-</v>
      </c>
      <c r="AG30" s="1892" t="str">
        <f>IF(VLOOKUP("Min Veh Perm",Data!$A$1264:$AG1291,11,FALSE)= "ON", "X", "-")</f>
        <v>-</v>
      </c>
      <c r="AH30" s="1886" t="str">
        <f>IF(VLOOKUP("Min Ped Perm",Data!$A$1263:$AG1290,11,FALSE)= "ON", "X", "-")</f>
        <v>-</v>
      </c>
      <c r="AI30" s="1928" t="str">
        <f>VLOOKUP("MI",Data!$A$1259:$AG1286,11,FALSE)</f>
        <v>OFF</v>
      </c>
    </row>
    <row r="31" spans="1:35">
      <c r="A31" s="1933"/>
      <c r="B31" s="2677"/>
      <c r="C31" s="2678"/>
      <c r="D31" s="1690"/>
      <c r="E31" s="1742"/>
      <c r="F31" s="1745"/>
      <c r="G31" s="1745"/>
      <c r="H31" s="1748"/>
      <c r="I31" s="1690"/>
      <c r="J31" s="160" t="s">
        <v>646</v>
      </c>
      <c r="K31" s="1185" t="str">
        <f>IF(VLOOKUP("Coord Phase",Data!$A$2443:$K$2443,2,FALSE)="On", "X", " ")</f>
        <v xml:space="preserve"> </v>
      </c>
      <c r="L31" s="1186" t="str">
        <f>IF(VLOOKUP("Coord Phase",Data!$A$2443:$K$2443,3,FALSE)="On", "X", " ")</f>
        <v xml:space="preserve"> </v>
      </c>
      <c r="M31" s="1187" t="str">
        <f>IF(VLOOKUP("Coord Phase",Data!$A$2443:$K$2443,4,FALSE)="On", "X", " ")</f>
        <v xml:space="preserve"> </v>
      </c>
      <c r="N31" s="1206" t="str">
        <f>IF(VLOOKUP("Coord Phase",Data!$A$2443:$K$2443,5,FALSE)="On", "X", " ")</f>
        <v xml:space="preserve"> </v>
      </c>
      <c r="O31" s="1187" t="str">
        <f>IF(VLOOKUP("Coord Phase",Data!$A$2443:$K$2443,6,FALSE)="On", "X", " ")</f>
        <v xml:space="preserve"> </v>
      </c>
      <c r="P31" s="1186" t="str">
        <f>IF(VLOOKUP("Coord Phase",Data!$A$2443:$K$2443,7,FALSE)="On", "X", " ")</f>
        <v xml:space="preserve"> </v>
      </c>
      <c r="Q31" s="1186" t="str">
        <f>IF(VLOOKUP("Coord Phase",Data!$A$2443:$K$2443,8,FALSE)="On", "X", " ")</f>
        <v xml:space="preserve"> </v>
      </c>
      <c r="R31" s="1187" t="str">
        <f>IF(VLOOKUP("Coord Phase",Data!$A$2443:$K$2443,9,FALSE)="On", "X", " ")</f>
        <v xml:space="preserve"> </v>
      </c>
      <c r="S31" s="1186" t="str">
        <f>IF(VLOOKUP("Coord Phase",Data!$A$2443:$K$2443,10,FALSE)="On", "X", " ")</f>
        <v xml:space="preserve"> </v>
      </c>
      <c r="T31" s="1187" t="str">
        <f>IF(VLOOKUP("Coord Phase",Data!$A$2443:$K$2443,11,FALSE)="On", "X", " ")</f>
        <v xml:space="preserve"> </v>
      </c>
      <c r="U31" s="1703"/>
      <c r="V31" s="1754"/>
      <c r="W31" s="1757"/>
      <c r="X31" s="1760"/>
      <c r="Y31" s="1763"/>
      <c r="Z31" s="1766"/>
      <c r="AA31" s="1766"/>
      <c r="AB31" s="1769"/>
      <c r="AC31" s="1772"/>
      <c r="AD31" s="1775"/>
      <c r="AE31" s="1778"/>
      <c r="AF31" s="1778"/>
      <c r="AG31" s="1778"/>
      <c r="AH31" s="1781"/>
      <c r="AI31" s="1687"/>
    </row>
    <row r="32" spans="1:35" ht="13.8" thickBot="1">
      <c r="A32" s="1933"/>
      <c r="B32" s="2677"/>
      <c r="C32" s="2678"/>
      <c r="D32" s="1691"/>
      <c r="E32" s="1743"/>
      <c r="F32" s="1746"/>
      <c r="G32" s="1746"/>
      <c r="H32" s="1749"/>
      <c r="I32" s="1750"/>
      <c r="J32" s="161" t="s">
        <v>53</v>
      </c>
      <c r="K32" s="1188" t="str">
        <f>VLOOKUP("Mode",Data!$A$2444:$K$2444,2,FALSE)</f>
        <v>NON</v>
      </c>
      <c r="L32" s="1207" t="str">
        <f>VLOOKUP("Mode",Data!$A$2444:$K$2444,3,FALSE)</f>
        <v>NON</v>
      </c>
      <c r="M32" s="1190" t="str">
        <f>VLOOKUP("Mode",Data!$A$2444:$K$2444,4,FALSE)</f>
        <v>NON</v>
      </c>
      <c r="N32" s="1208" t="str">
        <f>VLOOKUP("Mode",Data!$A$2444:$K$2444,5,FALSE)</f>
        <v>NON</v>
      </c>
      <c r="O32" s="1190" t="str">
        <f>VLOOKUP("Mode",Data!$A$2444:$K$2444,6,FALSE)</f>
        <v>NON</v>
      </c>
      <c r="P32" s="1207" t="str">
        <f>VLOOKUP("Mode",Data!$A$2444:$K$2444,7,FALSE)</f>
        <v>NON</v>
      </c>
      <c r="Q32" s="1207" t="str">
        <f>VLOOKUP("Mode",Data!$A$2444:$K$2444,8,FALSE)</f>
        <v>NON</v>
      </c>
      <c r="R32" s="1190" t="str">
        <f>VLOOKUP("Mode",Data!$A$2444:$K$2444,9,FALSE)</f>
        <v>NON</v>
      </c>
      <c r="S32" s="1207" t="str">
        <f>VLOOKUP("Mode",Data!$A$2444:$K$2444,10,FALSE)</f>
        <v>NON</v>
      </c>
      <c r="T32" s="1190" t="str">
        <f>VLOOKUP("Mode",Data!$A$2444:$K$2444,11,FALSE)</f>
        <v>NON</v>
      </c>
      <c r="U32" s="1752"/>
      <c r="V32" s="1909"/>
      <c r="W32" s="1897"/>
      <c r="X32" s="1899"/>
      <c r="Y32" s="1901"/>
      <c r="Z32" s="1903"/>
      <c r="AA32" s="1903"/>
      <c r="AB32" s="1889"/>
      <c r="AC32" s="1907"/>
      <c r="AD32" s="1891"/>
      <c r="AE32" s="1893"/>
      <c r="AF32" s="1893"/>
      <c r="AG32" s="1893"/>
      <c r="AH32" s="1887"/>
      <c r="AI32" s="1929"/>
    </row>
    <row r="33" spans="1:35" ht="12.75" customHeight="1">
      <c r="A33" s="1933"/>
      <c r="B33" s="2677"/>
      <c r="C33" s="2678"/>
      <c r="D33" s="1689">
        <v>11</v>
      </c>
      <c r="E33" s="1692">
        <f>VLOOKUP("Cycle Time",Data!$A:$Y,12,FALSE)</f>
        <v>0</v>
      </c>
      <c r="F33" s="1695">
        <f>VLOOKUP("Offset Time",Data!$A:$Y,12,FALSE)</f>
        <v>0</v>
      </c>
      <c r="G33" s="1695">
        <f>VLOOKUP("Split Number",Data!$A:$Y,12,FALSE)</f>
        <v>0</v>
      </c>
      <c r="H33" s="1698">
        <f>VLOOKUP("Seq Number",Data!$A:$Y,12,FALSE)</f>
        <v>1</v>
      </c>
      <c r="I33" s="1701">
        <v>11</v>
      </c>
      <c r="J33" s="162" t="s">
        <v>216</v>
      </c>
      <c r="K33" s="1165">
        <f>VLOOKUP("Time",Data!$A$2447:$K$2452,2,FALSE)</f>
        <v>0</v>
      </c>
      <c r="L33" s="1166">
        <f>VLOOKUP("Time",Data!$A$2447:$K$2452,3,FALSE)</f>
        <v>0</v>
      </c>
      <c r="M33" s="1166">
        <f>VLOOKUP("Time",Data!$A$2447:$K$2452,4,FALSE)</f>
        <v>0</v>
      </c>
      <c r="N33" s="1166">
        <f>VLOOKUP("Time",Data!$A$2447:$K$2452,5,FALSE)</f>
        <v>0</v>
      </c>
      <c r="O33" s="1166">
        <f>VLOOKUP("Time",Data!$A$2447:$K$2452,6,FALSE)</f>
        <v>0</v>
      </c>
      <c r="P33" s="1166">
        <f>VLOOKUP("Time",Data!$A$2447:$K$2452,7,FALSE)</f>
        <v>0</v>
      </c>
      <c r="Q33" s="1166">
        <f>VLOOKUP("Time",Data!$A$2447:$K$2452,8,FALSE)</f>
        <v>0</v>
      </c>
      <c r="R33" s="1167">
        <f>VLOOKUP("Time",Data!$A$2447:$K$2452,9,FALSE)</f>
        <v>0</v>
      </c>
      <c r="S33" s="1166">
        <f>VLOOKUP("Time",Data!$A$2447:$K$2452,10,FALSE)</f>
        <v>0</v>
      </c>
      <c r="T33" s="1167">
        <f>VLOOKUP("Time",Data!$A$2447:$K$2452,11,FALSE)</f>
        <v>0</v>
      </c>
      <c r="U33" s="1702">
        <v>11</v>
      </c>
      <c r="V33" s="1793">
        <f>VLOOKUP("Short",Data!$A$1249:$AG$1283,12,FALSE)</f>
        <v>0</v>
      </c>
      <c r="W33" s="1783">
        <f>VLOOKUP("Long",Data!$A$1249:$AG$1283,12,FALSE)</f>
        <v>17</v>
      </c>
      <c r="X33" s="1784">
        <f>VLOOKUP("Dwell",Data!$A$1249:$AG$1283,12,FALSE)</f>
        <v>0</v>
      </c>
      <c r="Y33" s="1785">
        <f>VLOOKUP("No Short P 1",Data!$A$1249:$AG$1283,12,FALSE)</f>
        <v>0</v>
      </c>
      <c r="Z33" s="1786">
        <f>VLOOKUP("No Short P 2",Data!$A$1249:$AG$1283,12,FALSE)</f>
        <v>0</v>
      </c>
      <c r="AA33" s="1786">
        <f>VLOOKUP("No Short P 3",Data!$A$1249:$AG$1283,12,FALSE)</f>
        <v>0</v>
      </c>
      <c r="AB33" s="1787">
        <f>VLOOKUP("No Short P 4",Data!$A$1249:$AG$1283,12,FALSE)</f>
        <v>0</v>
      </c>
      <c r="AC33" s="1788">
        <f>VLOOKUP("Early Yield",Data!$A$1249:$AG$1283,12,FALSE)</f>
        <v>0</v>
      </c>
      <c r="AD33" s="1789" t="str">
        <f>VLOOKUP("Offset",Data!$A$1249:$AG$1283,12,FALSE)</f>
        <v>BegGRN</v>
      </c>
      <c r="AE33" s="1738" t="str">
        <f>IF(VLOOKUP("Ret Hold",Data!$A$1249:$AG$1283,12,FALSE)= "On", "X", "-")</f>
        <v>-</v>
      </c>
      <c r="AF33" s="1738" t="str">
        <f>IF(VLOOKUP("Float",Data!$A$1249:$AG$1283,12,FALSE)= "On", "X", "-")</f>
        <v>-</v>
      </c>
      <c r="AG33" s="1738" t="str">
        <f>IF(VLOOKUP("Min Veh Perm",Data!$A$1249:$AG$1283,12,FALSE)= "ON", "X", "-")</f>
        <v>-</v>
      </c>
      <c r="AH33" s="1739" t="str">
        <f>IF(VLOOKUP("Min Ped Perm",Data!$A$1249:$AG$1283,12,FALSE)= "ON", "X", "-")</f>
        <v>-</v>
      </c>
      <c r="AI33" s="1740" t="str">
        <f>VLOOKUP("MI",Data!$A$1249:$AG$1283,12,FALSE)</f>
        <v>OFF</v>
      </c>
    </row>
    <row r="34" spans="1:35" ht="13.5" customHeight="1">
      <c r="A34" s="1933"/>
      <c r="B34" s="2677"/>
      <c r="C34" s="2678"/>
      <c r="D34" s="1690"/>
      <c r="E34" s="1693"/>
      <c r="F34" s="1696"/>
      <c r="G34" s="1696"/>
      <c r="H34" s="1699"/>
      <c r="I34" s="1690"/>
      <c r="J34" s="160" t="s">
        <v>646</v>
      </c>
      <c r="K34" s="1168" t="str">
        <f>IF(VLOOKUP("Coord Phase",Data!$A$2447:$K$2452,2,FALSE)="On", "X", " ")</f>
        <v xml:space="preserve"> </v>
      </c>
      <c r="L34" s="1169" t="str">
        <f>IF(VLOOKUP("Coord Phase",Data!$A$2447:$K$2452,3,FALSE)="On", "X", " ")</f>
        <v xml:space="preserve"> </v>
      </c>
      <c r="M34" s="1169" t="str">
        <f>IF(VLOOKUP("Coord Phase",Data!$A$2447:$K$2452,4,FALSE)="On", "X", " ")</f>
        <v xml:space="preserve"> </v>
      </c>
      <c r="N34" s="1169" t="str">
        <f>IF(VLOOKUP("Coord Phase",Data!$A$2447:$K$2452,5,FALSE)="On", "X", " ")</f>
        <v xml:space="preserve"> </v>
      </c>
      <c r="O34" s="1169" t="str">
        <f>IF(VLOOKUP("Coord Phase",Data!$A$2447:$K$2452,6,FALSE)="On", "X", " ")</f>
        <v xml:space="preserve"> </v>
      </c>
      <c r="P34" s="1169" t="str">
        <f>IF(VLOOKUP("Coord Phase",Data!$A$2447:$K$2452,7,FALSE)="On", "X", " ")</f>
        <v xml:space="preserve"> </v>
      </c>
      <c r="Q34" s="1169" t="str">
        <f>IF(VLOOKUP("Coord Phase",Data!$A$2447:$K$2452,8,FALSE)="On", "X", " ")</f>
        <v xml:space="preserve"> </v>
      </c>
      <c r="R34" s="1170" t="str">
        <f>IF(VLOOKUP("Coord Phase",Data!$A$2447:$K$2452,9,FALSE)="On", "X", " ")</f>
        <v xml:space="preserve"> </v>
      </c>
      <c r="S34" s="1169" t="str">
        <f>IF(VLOOKUP("Coord Phase",Data!$A$2447:$K$2452,10,FALSE)="On", "X", " ")</f>
        <v xml:space="preserve"> </v>
      </c>
      <c r="T34" s="1170" t="str">
        <f>IF(VLOOKUP("Coord Phase",Data!$A$2447:$K$2452,11,FALSE)="On", "X", " ")</f>
        <v xml:space="preserve"> </v>
      </c>
      <c r="U34" s="1703"/>
      <c r="V34" s="1706"/>
      <c r="W34" s="1709"/>
      <c r="X34" s="1721"/>
      <c r="Y34" s="1724"/>
      <c r="Z34" s="1727"/>
      <c r="AA34" s="1727"/>
      <c r="AB34" s="1730"/>
      <c r="AC34" s="1733"/>
      <c r="AD34" s="1736"/>
      <c r="AE34" s="1712"/>
      <c r="AF34" s="1712"/>
      <c r="AG34" s="1712"/>
      <c r="AH34" s="1715"/>
      <c r="AI34" s="1718"/>
    </row>
    <row r="35" spans="1:35" ht="12.75" customHeight="1" thickBot="1">
      <c r="A35" s="1933"/>
      <c r="B35" s="2677"/>
      <c r="C35" s="2678"/>
      <c r="D35" s="1750"/>
      <c r="E35" s="1790"/>
      <c r="F35" s="1791"/>
      <c r="G35" s="1791"/>
      <c r="H35" s="1792"/>
      <c r="I35" s="1691"/>
      <c r="J35" s="163" t="s">
        <v>53</v>
      </c>
      <c r="K35" s="1171" t="str">
        <f>VLOOKUP("Mode",Data!$A$2447:$K$2452,2,FALSE)</f>
        <v>NON</v>
      </c>
      <c r="L35" s="1172" t="str">
        <f>VLOOKUP("Mode",Data!$A$2447:$K$2452,3,FALSE)</f>
        <v>NON</v>
      </c>
      <c r="M35" s="1172" t="str">
        <f>VLOOKUP("Mode",Data!$A$2447:$K$2452,4,FALSE)</f>
        <v>NON</v>
      </c>
      <c r="N35" s="1172" t="str">
        <f>VLOOKUP("Mode",Data!$A$2447:$K$2452,5,FALSE)</f>
        <v>NON</v>
      </c>
      <c r="O35" s="1172" t="str">
        <f>VLOOKUP("Mode",Data!$A$2447:$K$2452,6,FALSE)</f>
        <v>NON</v>
      </c>
      <c r="P35" s="1172" t="str">
        <f>VLOOKUP("Mode",Data!$A$2447:$K$2452,7,FALSE)</f>
        <v>NON</v>
      </c>
      <c r="Q35" s="1172" t="str">
        <f>VLOOKUP("Mode",Data!$A$2447:$K$2452,8,FALSE)</f>
        <v>NON</v>
      </c>
      <c r="R35" s="1173" t="str">
        <f>VLOOKUP("Mode",Data!$A$2447:$K$2452,9,FALSE)</f>
        <v>NON</v>
      </c>
      <c r="S35" s="1172" t="str">
        <f>VLOOKUP("Mode",Data!$A$2447:$K$2452,10,FALSE)</f>
        <v>NON</v>
      </c>
      <c r="T35" s="1173" t="str">
        <f>VLOOKUP("Mode",Data!$A$2447:$K$2452,11,FALSE)</f>
        <v>NON</v>
      </c>
      <c r="U35" s="1704"/>
      <c r="V35" s="1707"/>
      <c r="W35" s="1710"/>
      <c r="X35" s="1722"/>
      <c r="Y35" s="1725"/>
      <c r="Z35" s="1728"/>
      <c r="AA35" s="1728"/>
      <c r="AB35" s="1731"/>
      <c r="AC35" s="1734"/>
      <c r="AD35" s="1737"/>
      <c r="AE35" s="1713"/>
      <c r="AF35" s="1713"/>
      <c r="AG35" s="1713"/>
      <c r="AH35" s="1716"/>
      <c r="AI35" s="1719"/>
    </row>
    <row r="36" spans="1:35" ht="12.75" customHeight="1">
      <c r="A36" s="1806" t="s">
        <v>657</v>
      </c>
      <c r="B36" s="2677"/>
      <c r="C36" s="2678"/>
      <c r="D36" s="1701">
        <v>12</v>
      </c>
      <c r="E36" s="1741">
        <f>VLOOKUP("Cycle Time",Data!$A:$Y,13,FALSE)</f>
        <v>0</v>
      </c>
      <c r="F36" s="1744">
        <f>VLOOKUP("Offset Time",Data!$A:$Y,13,FALSE)</f>
        <v>0</v>
      </c>
      <c r="G36" s="1744">
        <f>VLOOKUP("Split Number",Data!$A:$Y,13,FALSE)</f>
        <v>0</v>
      </c>
      <c r="H36" s="1747">
        <f>VLOOKUP("Seq Number",Data!$A:$Y,13,FALSE)</f>
        <v>1</v>
      </c>
      <c r="I36" s="1689">
        <v>12</v>
      </c>
      <c r="J36" s="164" t="s">
        <v>216</v>
      </c>
      <c r="K36" s="1182">
        <f>VLOOKUP("Time",Data!$A$2453:$K$2458,2,FALSE)</f>
        <v>0</v>
      </c>
      <c r="L36" s="1183">
        <f>VLOOKUP("Time",Data!$A$2453:$K$2458,3,FALSE)</f>
        <v>0</v>
      </c>
      <c r="M36" s="1184">
        <f>VLOOKUP("Time",Data!$A$2453:$K$2458,4,FALSE)</f>
        <v>0</v>
      </c>
      <c r="N36" s="1183">
        <f>VLOOKUP("Time",Data!$A$2453:$K$2458,5,FALSE)</f>
        <v>0</v>
      </c>
      <c r="O36" s="1184">
        <f>VLOOKUP("Time",Data!$A$2453:$K$2458,6,FALSE)</f>
        <v>0</v>
      </c>
      <c r="P36" s="1183">
        <f>VLOOKUP("Time",Data!$A$2453:$K$2458,7,FALSE)</f>
        <v>0</v>
      </c>
      <c r="Q36" s="1183">
        <f>VLOOKUP("Time",Data!$A$2453:$K$2458,8,FALSE)</f>
        <v>0</v>
      </c>
      <c r="R36" s="1184">
        <f>VLOOKUP("Time",Data!$A$2453:$K$2458,9,FALSE)</f>
        <v>0</v>
      </c>
      <c r="S36" s="1183">
        <f>VLOOKUP("Time",Data!$A$2453:$K$2458,10,FALSE)</f>
        <v>0</v>
      </c>
      <c r="T36" s="1184">
        <f>VLOOKUP("Time",Data!$A$2453:$K$2458,11,FALSE)</f>
        <v>0</v>
      </c>
      <c r="U36" s="1751">
        <v>12</v>
      </c>
      <c r="V36" s="1753">
        <f>VLOOKUP("Short",Data!$A$1249:$AG$1283,13,FALSE)</f>
        <v>0</v>
      </c>
      <c r="W36" s="1756">
        <f>VLOOKUP("Long",Data!$A$1249:$AG$1283,13,FALSE)</f>
        <v>17</v>
      </c>
      <c r="X36" s="1759">
        <f>VLOOKUP("Dwell",Data!$A$1249:$AG$1283,13,FALSE)</f>
        <v>0</v>
      </c>
      <c r="Y36" s="1762">
        <f>VLOOKUP("No Short P 1",Data!$A$1249:$AG$1283,13,FALSE)</f>
        <v>0</v>
      </c>
      <c r="Z36" s="1765">
        <f>VLOOKUP("No Short P 2",Data!$A$1249:$AG$1283,13,FALSE)</f>
        <v>0</v>
      </c>
      <c r="AA36" s="1765">
        <f>VLOOKUP("No Short P 3",Data!$A$1249:$AG$1283,13,FALSE)</f>
        <v>0</v>
      </c>
      <c r="AB36" s="1768">
        <f>VLOOKUP("No Short P 4",Data!$A$1249:$AG$1283,13,FALSE)</f>
        <v>0</v>
      </c>
      <c r="AC36" s="1771">
        <f>VLOOKUP("Early Yield",Data!$A$1249:$AG$1283,13,FALSE)</f>
        <v>0</v>
      </c>
      <c r="AD36" s="1774" t="str">
        <f>VLOOKUP("Offset",Data!$A$1249:$AG$1283,13,FALSE)</f>
        <v>BegGRN</v>
      </c>
      <c r="AE36" s="1777" t="str">
        <f>IF(VLOOKUP("Ret Hold",Data!$A$1249:$AG$1283,13,FALSE)= "On", "X", "-")</f>
        <v>-</v>
      </c>
      <c r="AF36" s="1777" t="str">
        <f>IF(VLOOKUP("Float",Data!$A$1249:$AG$1283,13,FALSE)= "On", "X", "-")</f>
        <v>-</v>
      </c>
      <c r="AG36" s="1777" t="str">
        <f>IF(VLOOKUP("Min Veh Perm",Data!$A$1249:$AG$1283,13,FALSE)= "ON", "X", "-")</f>
        <v>-</v>
      </c>
      <c r="AH36" s="1780" t="str">
        <f>IF(VLOOKUP("Min Ped Perm",Data!$A$1249:$AG$1283,13,FALSE)= "ON", "X", "-")</f>
        <v>-</v>
      </c>
      <c r="AI36" s="1686" t="str">
        <f>VLOOKUP("MI",Data!$A$1249:$AG$1283,13,FALSE)</f>
        <v>OFF</v>
      </c>
    </row>
    <row r="37" spans="1:35" ht="13.5" customHeight="1">
      <c r="A37" s="1806"/>
      <c r="B37" s="2677"/>
      <c r="C37" s="2678"/>
      <c r="D37" s="1690"/>
      <c r="E37" s="1742"/>
      <c r="F37" s="1745"/>
      <c r="G37" s="1745"/>
      <c r="H37" s="1748"/>
      <c r="I37" s="1690"/>
      <c r="J37" s="160" t="s">
        <v>646</v>
      </c>
      <c r="K37" s="1185" t="str">
        <f>IF(VLOOKUP("Coord Phase",Data!$A$2453:$K$2458,2,FALSE)="On", "X", " ")</f>
        <v xml:space="preserve"> </v>
      </c>
      <c r="L37" s="1186" t="str">
        <f>IF(VLOOKUP("Coord Phase",Data!$A$2453:$K$2458,3,FALSE)="On", "X", " ")</f>
        <v xml:space="preserve"> </v>
      </c>
      <c r="M37" s="1187" t="str">
        <f>IF(VLOOKUP("Coord Phase",Data!$A$2453:$K$2458,4,FALSE)="On", "X", " ")</f>
        <v xml:space="preserve"> </v>
      </c>
      <c r="N37" s="1186" t="str">
        <f>IF(VLOOKUP("Coord Phase",Data!$A$2453:$K$2458,5,FALSE)="On", "X", " ")</f>
        <v xml:space="preserve"> </v>
      </c>
      <c r="O37" s="1187" t="str">
        <f>IF(VLOOKUP("Coord Phase",Data!$A$2453:$K$2458,6,FALSE)="On", "X", " ")</f>
        <v xml:space="preserve"> </v>
      </c>
      <c r="P37" s="1186" t="str">
        <f>IF(VLOOKUP("Coord Phase",Data!$A$2453:$K$2458,7,FALSE)="On", "X", " ")</f>
        <v xml:space="preserve"> </v>
      </c>
      <c r="Q37" s="1186" t="str">
        <f>IF(VLOOKUP("Coord Phase",Data!$A$2453:$K$2458,8,FALSE)="On", "X", " ")</f>
        <v xml:space="preserve"> </v>
      </c>
      <c r="R37" s="1187" t="str">
        <f>IF(VLOOKUP("Coord Phase",Data!$A$2453:$K$2458,9,FALSE)="On", "X", " ")</f>
        <v xml:space="preserve"> </v>
      </c>
      <c r="S37" s="1186" t="str">
        <f>IF(VLOOKUP("Coord Phase",Data!$A$2453:$K$2458,10,FALSE)="On", "X", " ")</f>
        <v xml:space="preserve"> </v>
      </c>
      <c r="T37" s="1187" t="str">
        <f>IF(VLOOKUP("Coord Phase",Data!$A$2453:$K$2458,11,FALSE)="On", "X", " ")</f>
        <v xml:space="preserve"> </v>
      </c>
      <c r="U37" s="1703"/>
      <c r="V37" s="1754"/>
      <c r="W37" s="1757"/>
      <c r="X37" s="1760"/>
      <c r="Y37" s="1763"/>
      <c r="Z37" s="1766"/>
      <c r="AA37" s="1766"/>
      <c r="AB37" s="1769"/>
      <c r="AC37" s="1772"/>
      <c r="AD37" s="1775"/>
      <c r="AE37" s="1778"/>
      <c r="AF37" s="1778"/>
      <c r="AG37" s="1778"/>
      <c r="AH37" s="1781"/>
      <c r="AI37" s="1687"/>
    </row>
    <row r="38" spans="1:35" ht="12.75" customHeight="1" thickBot="1">
      <c r="A38" s="1806"/>
      <c r="B38" s="2677"/>
      <c r="C38" s="2678"/>
      <c r="D38" s="1691"/>
      <c r="E38" s="1743"/>
      <c r="F38" s="1746"/>
      <c r="G38" s="1746"/>
      <c r="H38" s="1749"/>
      <c r="I38" s="1750"/>
      <c r="J38" s="161" t="s">
        <v>53</v>
      </c>
      <c r="K38" s="1188" t="str">
        <f>VLOOKUP("Mode",Data!$A$2453:$K$2458,2,FALSE)</f>
        <v>NON</v>
      </c>
      <c r="L38" s="1189" t="str">
        <f>VLOOKUP("Mode",Data!$A$2453:$K$2458,3,FALSE)</f>
        <v>NON</v>
      </c>
      <c r="M38" s="1190" t="str">
        <f>VLOOKUP("Mode",Data!$A$2453:$K$2458,4,FALSE)</f>
        <v>NON</v>
      </c>
      <c r="N38" s="1189" t="str">
        <f>VLOOKUP("Mode",Data!$A$2453:$K$2458,5,FALSE)</f>
        <v>NON</v>
      </c>
      <c r="O38" s="1190" t="str">
        <f>VLOOKUP("Mode",Data!$A$2453:$K$2458,6,FALSE)</f>
        <v>NON</v>
      </c>
      <c r="P38" s="1189" t="str">
        <f>VLOOKUP("Mode",Data!$A$2453:$K$2458,7,FALSE)</f>
        <v>NON</v>
      </c>
      <c r="Q38" s="1189" t="str">
        <f>VLOOKUP("Mode",Data!$A$2453:$K$2458,8,FALSE)</f>
        <v>NON</v>
      </c>
      <c r="R38" s="1190" t="str">
        <f>VLOOKUP("Mode",Data!$A$2453:$K$2458,9,FALSE)</f>
        <v>NON</v>
      </c>
      <c r="S38" s="1189" t="str">
        <f>VLOOKUP("Mode",Data!$A$2453:$K$2458,10,FALSE)</f>
        <v>NON</v>
      </c>
      <c r="T38" s="1190" t="str">
        <f>VLOOKUP("Mode",Data!$A$2453:$K$2458,11,FALSE)</f>
        <v>NON</v>
      </c>
      <c r="U38" s="1752"/>
      <c r="V38" s="1755"/>
      <c r="W38" s="1758"/>
      <c r="X38" s="1761"/>
      <c r="Y38" s="1764"/>
      <c r="Z38" s="1767"/>
      <c r="AA38" s="1767"/>
      <c r="AB38" s="1770"/>
      <c r="AC38" s="1773"/>
      <c r="AD38" s="1776"/>
      <c r="AE38" s="1779"/>
      <c r="AF38" s="1779"/>
      <c r="AG38" s="1779"/>
      <c r="AH38" s="1782"/>
      <c r="AI38" s="1688"/>
    </row>
    <row r="39" spans="1:35" ht="12.75" customHeight="1">
      <c r="A39" s="1806"/>
      <c r="B39" s="2677"/>
      <c r="C39" s="2678"/>
      <c r="D39" s="1689">
        <v>13</v>
      </c>
      <c r="E39" s="1692">
        <f>VLOOKUP("Cycle Time",Data!$A:$Y,14,FALSE)</f>
        <v>0</v>
      </c>
      <c r="F39" s="1695">
        <f>VLOOKUP("Offset Time",Data!$A:$Y,14,FALSE)</f>
        <v>0</v>
      </c>
      <c r="G39" s="1695">
        <f>VLOOKUP("Split Number",Data!$A:$Y,14,FALSE)</f>
        <v>0</v>
      </c>
      <c r="H39" s="1698">
        <f>VLOOKUP("Seq Number",Data!$A:$Y,14,FALSE)</f>
        <v>1</v>
      </c>
      <c r="I39" s="1701">
        <v>13</v>
      </c>
      <c r="J39" s="162" t="s">
        <v>216</v>
      </c>
      <c r="K39" s="1174">
        <f>VLOOKUP("Time",Data!$A$2459:$K$2464,2,FALSE)</f>
        <v>0</v>
      </c>
      <c r="L39" s="1175">
        <f>VLOOKUP("Time",Data!$A$2459:$K$2464,3,FALSE)</f>
        <v>0</v>
      </c>
      <c r="M39" s="1176">
        <f>VLOOKUP("Time",Data!$A$2459:$K$2464,4,FALSE)</f>
        <v>0</v>
      </c>
      <c r="N39" s="1177">
        <f>VLOOKUP("Time",Data!$A$2459:$K$2464,5,FALSE)</f>
        <v>0</v>
      </c>
      <c r="O39" s="1176">
        <f>VLOOKUP("Time",Data!$A$2459:$K$2464,6,FALSE)</f>
        <v>0</v>
      </c>
      <c r="P39" s="1175">
        <f>VLOOKUP("Time",Data!$A$2459:$K$2464,7,FALSE)</f>
        <v>0</v>
      </c>
      <c r="Q39" s="1175">
        <f>VLOOKUP("Time",Data!$A$2459:$K$2464,8,FALSE)</f>
        <v>0</v>
      </c>
      <c r="R39" s="1176">
        <f>VLOOKUP("Time",Data!$A$2459:$K$2464,9,FALSE)</f>
        <v>0</v>
      </c>
      <c r="S39" s="1175">
        <f>VLOOKUP("Time",Data!$A$2459:$K$2464,10,FALSE)</f>
        <v>0</v>
      </c>
      <c r="T39" s="1176">
        <f>VLOOKUP("Time",Data!$A$2459:$K$2464,11,FALSE)</f>
        <v>0</v>
      </c>
      <c r="U39" s="1702">
        <v>13</v>
      </c>
      <c r="V39" s="1705">
        <f>VLOOKUP("Short",Data!$A$1249:$AG$1283,14,FALSE)</f>
        <v>0</v>
      </c>
      <c r="W39" s="1708">
        <f>VLOOKUP("Long",Data!$A$1249:$AG$1283,14,FALSE)</f>
        <v>17</v>
      </c>
      <c r="X39" s="1720">
        <f>VLOOKUP("Dwell",Data!$A$1249:$AG$1283,14,FALSE)</f>
        <v>0</v>
      </c>
      <c r="Y39" s="1723">
        <f>VLOOKUP("No Short P 1",Data!$A$1249:$AG$1283,14,FALSE)</f>
        <v>0</v>
      </c>
      <c r="Z39" s="1726">
        <f>VLOOKUP("No Short P 2",Data!$A$1249:$AG$1283,14,FALSE)</f>
        <v>0</v>
      </c>
      <c r="AA39" s="1726">
        <f>VLOOKUP("No Short P 3",Data!$A$1249:$AG$1283,14,FALSE)</f>
        <v>0</v>
      </c>
      <c r="AB39" s="1729">
        <f>VLOOKUP("No Short P 4",Data!$A$1249:$AG$1283,14,FALSE)</f>
        <v>0</v>
      </c>
      <c r="AC39" s="1732">
        <f>VLOOKUP("Early Yield",Data!$A$1249:$AG$1283,14,FALSE)</f>
        <v>0</v>
      </c>
      <c r="AD39" s="1735" t="str">
        <f>VLOOKUP("Offset",Data!$A$1249:$AG$1283,14,FALSE)</f>
        <v>BegGRN</v>
      </c>
      <c r="AE39" s="1711" t="str">
        <f>IF(VLOOKUP("Ret Hold",Data!$A$1249:$AG$1283,14,FALSE)= "On", "X", "-")</f>
        <v>-</v>
      </c>
      <c r="AF39" s="1711" t="str">
        <f>IF(VLOOKUP("Float",Data!$A$1249:$AG$1283,14,FALSE)= "On", "X", "-")</f>
        <v>-</v>
      </c>
      <c r="AG39" s="1711" t="str">
        <f>IF(VLOOKUP("Min Veh Perm",Data!$A$1249:$AG$1283,14,FALSE)= "ON", "X", "-")</f>
        <v>-</v>
      </c>
      <c r="AH39" s="1714" t="str">
        <f>IF(VLOOKUP("Min Ped Perm",Data!$A$1249:$AG$1283,14,FALSE)= "ON", "X", "-")</f>
        <v>-</v>
      </c>
      <c r="AI39" s="1717" t="str">
        <f>VLOOKUP("MI",Data!$A$1249:$AG$1283,14,FALSE)</f>
        <v>OFF</v>
      </c>
    </row>
    <row r="40" spans="1:35" ht="12.75" customHeight="1">
      <c r="A40" s="1806"/>
      <c r="B40" s="2677"/>
      <c r="C40" s="2678"/>
      <c r="D40" s="1690"/>
      <c r="E40" s="1693"/>
      <c r="F40" s="1696"/>
      <c r="G40" s="1696"/>
      <c r="H40" s="1699"/>
      <c r="I40" s="1690"/>
      <c r="J40" s="160" t="s">
        <v>646</v>
      </c>
      <c r="K40" s="1178" t="str">
        <f>IF(VLOOKUP("Coord Phase",Data!$A$2459:$K$2464,2,FALSE)="On", "X", " ")</f>
        <v xml:space="preserve"> </v>
      </c>
      <c r="L40" s="1179" t="str">
        <f>IF(VLOOKUP("Coord Phase",Data!$A$2459:$K$2464,3,FALSE)="On", "X", " ")</f>
        <v xml:space="preserve"> </v>
      </c>
      <c r="M40" s="1180" t="str">
        <f>IF(VLOOKUP("Coord Phase",Data!$A$2459:$K$2464,4,FALSE)="On", "X", " ")</f>
        <v xml:space="preserve"> </v>
      </c>
      <c r="N40" s="1181" t="str">
        <f>IF(VLOOKUP("Coord Phase",Data!$A$2459:$K$2464,5,FALSE)="On", "X", " ")</f>
        <v xml:space="preserve"> </v>
      </c>
      <c r="O40" s="1180" t="str">
        <f>IF(VLOOKUP("Coord Phase",Data!$A$2459:$K$2464,6,FALSE)="On", "X", " ")</f>
        <v xml:space="preserve"> </v>
      </c>
      <c r="P40" s="1179" t="str">
        <f>IF(VLOOKUP("Coord Phase",Data!$A$2459:$K$2464,7,FALSE)="On", "X", " ")</f>
        <v xml:space="preserve"> </v>
      </c>
      <c r="Q40" s="1179" t="str">
        <f>IF(VLOOKUP("Coord Phase",Data!$A$2459:$K$2464,8,FALSE)="On", "X", " ")</f>
        <v xml:space="preserve"> </v>
      </c>
      <c r="R40" s="1180" t="str">
        <f>IF(VLOOKUP("Coord Phase",Data!$A$2459:$K$2464,9,FALSE)="On", "X", " ")</f>
        <v xml:space="preserve"> </v>
      </c>
      <c r="S40" s="1179" t="str">
        <f>IF(VLOOKUP("Coord Phase",Data!$A$2459:$K$2464,10,FALSE)="On", "X", " ")</f>
        <v xml:space="preserve"> </v>
      </c>
      <c r="T40" s="1180" t="str">
        <f>IF(VLOOKUP("Coord Phase",Data!$A$2459:$K$2464,11,FALSE)="On", "X", " ")</f>
        <v xml:space="preserve"> </v>
      </c>
      <c r="U40" s="1703"/>
      <c r="V40" s="1706"/>
      <c r="W40" s="1709"/>
      <c r="X40" s="1721"/>
      <c r="Y40" s="1724"/>
      <c r="Z40" s="1727"/>
      <c r="AA40" s="1727"/>
      <c r="AB40" s="1730"/>
      <c r="AC40" s="1733"/>
      <c r="AD40" s="1736"/>
      <c r="AE40" s="1712"/>
      <c r="AF40" s="1712"/>
      <c r="AG40" s="1712"/>
      <c r="AH40" s="1715"/>
      <c r="AI40" s="1718"/>
    </row>
    <row r="41" spans="1:35" ht="13.5" customHeight="1" thickBot="1">
      <c r="A41" s="1806"/>
      <c r="B41" s="2677"/>
      <c r="C41" s="2678"/>
      <c r="D41" s="1691"/>
      <c r="E41" s="1694"/>
      <c r="F41" s="1697"/>
      <c r="G41" s="1697"/>
      <c r="H41" s="1700"/>
      <c r="I41" s="1691"/>
      <c r="J41" s="163" t="s">
        <v>53</v>
      </c>
      <c r="K41" s="1209" t="str">
        <f>VLOOKUP("Mode",Data!$A$2459:$K$2464,2,FALSE)</f>
        <v>NON</v>
      </c>
      <c r="L41" s="1210" t="str">
        <f>VLOOKUP("Mode",Data!$A$2459:$K$2464,3,FALSE)</f>
        <v>NON</v>
      </c>
      <c r="M41" s="1211" t="str">
        <f>VLOOKUP("Mode",Data!$A$2459:$K$2464,4,FALSE)</f>
        <v>NON</v>
      </c>
      <c r="N41" s="1212" t="str">
        <f>VLOOKUP("Mode",Data!$A$2459:$K$2464,5,FALSE)</f>
        <v>NON</v>
      </c>
      <c r="O41" s="1211" t="str">
        <f>VLOOKUP("Mode",Data!$A$2459:$K$2464,6,FALSE)</f>
        <v>NON</v>
      </c>
      <c r="P41" s="1210" t="str">
        <f>VLOOKUP("Mode",Data!$A$2459:$K$2464,7,FALSE)</f>
        <v>NON</v>
      </c>
      <c r="Q41" s="1210" t="str">
        <f>VLOOKUP("Mode",Data!$A$2459:$K$2464,8,FALSE)</f>
        <v>NON</v>
      </c>
      <c r="R41" s="1211" t="str">
        <f>VLOOKUP("Mode",Data!$A$2459:$K$2464,9,FALSE)</f>
        <v>NON</v>
      </c>
      <c r="S41" s="1210" t="str">
        <f>VLOOKUP("Mode",Data!$A$2459:$K$2464,10,FALSE)</f>
        <v>NON</v>
      </c>
      <c r="T41" s="1211" t="str">
        <f>VLOOKUP("Mode",Data!$A$2459:$K$2464,11,FALSE)</f>
        <v>NON</v>
      </c>
      <c r="U41" s="1704"/>
      <c r="V41" s="1707"/>
      <c r="W41" s="1710"/>
      <c r="X41" s="1722"/>
      <c r="Y41" s="1725"/>
      <c r="Z41" s="1728"/>
      <c r="AA41" s="1728"/>
      <c r="AB41" s="1731"/>
      <c r="AC41" s="1734"/>
      <c r="AD41" s="1737"/>
      <c r="AE41" s="1713"/>
      <c r="AF41" s="1713"/>
      <c r="AG41" s="1713"/>
      <c r="AH41" s="1716"/>
      <c r="AI41" s="1719"/>
    </row>
    <row r="42" spans="1:35" ht="12.75" customHeight="1">
      <c r="A42" s="1932">
        <f>Data!B118</f>
        <v>0</v>
      </c>
      <c r="B42" s="2677"/>
      <c r="C42" s="2678"/>
      <c r="D42" s="1935" t="s">
        <v>1002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7"/>
    </row>
    <row r="43" spans="1:35" ht="12.75" customHeight="1">
      <c r="A43" s="1933"/>
      <c r="B43" s="2677"/>
      <c r="C43" s="2678"/>
      <c r="D43" s="1935"/>
      <c r="E43" s="1936"/>
      <c r="F43" s="1936"/>
      <c r="G43" s="1936"/>
      <c r="H43" s="1936"/>
      <c r="I43" s="1936"/>
      <c r="J43" s="1936"/>
      <c r="K43" s="1936"/>
      <c r="L43" s="1936"/>
      <c r="M43" s="1936"/>
      <c r="N43" s="1936"/>
      <c r="O43" s="1936"/>
      <c r="P43" s="1936"/>
      <c r="Q43" s="1936"/>
      <c r="R43" s="1936"/>
      <c r="S43" s="1936"/>
      <c r="T43" s="1936"/>
      <c r="U43" s="1936"/>
      <c r="V43" s="1936"/>
      <c r="W43" s="1936"/>
      <c r="X43" s="1936"/>
      <c r="Y43" s="1936"/>
      <c r="Z43" s="1936"/>
      <c r="AA43" s="1936"/>
      <c r="AB43" s="1936"/>
      <c r="AC43" s="1936"/>
      <c r="AD43" s="1936"/>
      <c r="AE43" s="1936"/>
      <c r="AF43" s="1936"/>
      <c r="AG43" s="1936"/>
      <c r="AH43" s="1936"/>
      <c r="AI43" s="1937"/>
    </row>
    <row r="44" spans="1:35" ht="12.75" customHeight="1">
      <c r="A44" s="1933"/>
      <c r="B44" s="2677"/>
      <c r="C44" s="2678"/>
      <c r="D44" s="1935"/>
      <c r="E44" s="1936"/>
      <c r="F44" s="1936"/>
      <c r="G44" s="1936"/>
      <c r="H44" s="1936"/>
      <c r="I44" s="1936"/>
      <c r="J44" s="1936"/>
      <c r="K44" s="1936"/>
      <c r="L44" s="1936"/>
      <c r="M44" s="1936"/>
      <c r="N44" s="1936"/>
      <c r="O44" s="1936"/>
      <c r="P44" s="1936"/>
      <c r="Q44" s="1936"/>
      <c r="R44" s="1936"/>
      <c r="S44" s="1936"/>
      <c r="T44" s="1936"/>
      <c r="U44" s="1936"/>
      <c r="V44" s="1936"/>
      <c r="W44" s="1936"/>
      <c r="X44" s="1936"/>
      <c r="Y44" s="1936"/>
      <c r="Z44" s="1936"/>
      <c r="AA44" s="1936"/>
      <c r="AB44" s="1936"/>
      <c r="AC44" s="1936"/>
      <c r="AD44" s="1936"/>
      <c r="AE44" s="1936"/>
      <c r="AF44" s="1936"/>
      <c r="AG44" s="1936"/>
      <c r="AH44" s="1936"/>
      <c r="AI44" s="1937"/>
    </row>
    <row r="45" spans="1:35" ht="12.75" customHeight="1">
      <c r="A45" s="1933"/>
      <c r="B45" s="2677"/>
      <c r="C45" s="2678"/>
      <c r="D45" s="1935"/>
      <c r="E45" s="1936"/>
      <c r="F45" s="1936"/>
      <c r="G45" s="1936"/>
      <c r="H45" s="1936"/>
      <c r="I45" s="1936"/>
      <c r="J45" s="1936"/>
      <c r="K45" s="1936"/>
      <c r="L45" s="1936"/>
      <c r="M45" s="1936"/>
      <c r="N45" s="1936"/>
      <c r="O45" s="1936"/>
      <c r="P45" s="1936"/>
      <c r="Q45" s="1936"/>
      <c r="R45" s="1936"/>
      <c r="S45" s="1936"/>
      <c r="T45" s="1936"/>
      <c r="U45" s="1936"/>
      <c r="V45" s="1936"/>
      <c r="W45" s="1936"/>
      <c r="X45" s="1936"/>
      <c r="Y45" s="1936"/>
      <c r="Z45" s="1936"/>
      <c r="AA45" s="1936"/>
      <c r="AB45" s="1936"/>
      <c r="AC45" s="1936"/>
      <c r="AD45" s="1936"/>
      <c r="AE45" s="1936"/>
      <c r="AF45" s="1936"/>
      <c r="AG45" s="1936"/>
      <c r="AH45" s="1936"/>
      <c r="AI45" s="1937"/>
    </row>
    <row r="46" spans="1:35" ht="12.75" customHeight="1">
      <c r="A46" s="1930" t="s">
        <v>654</v>
      </c>
      <c r="B46" s="2677"/>
      <c r="C46" s="2678"/>
      <c r="D46" s="1935"/>
      <c r="E46" s="1936"/>
      <c r="F46" s="1936"/>
      <c r="G46" s="1936"/>
      <c r="H46" s="1936"/>
      <c r="I46" s="1936"/>
      <c r="J46" s="1936"/>
      <c r="K46" s="1936"/>
      <c r="L46" s="1936"/>
      <c r="M46" s="1936"/>
      <c r="N46" s="1936"/>
      <c r="O46" s="1936"/>
      <c r="P46" s="1936"/>
      <c r="Q46" s="1936"/>
      <c r="R46" s="1936"/>
      <c r="S46" s="1936"/>
      <c r="T46" s="1936"/>
      <c r="U46" s="1936"/>
      <c r="V46" s="1936"/>
      <c r="W46" s="1936"/>
      <c r="X46" s="1936"/>
      <c r="Y46" s="1936"/>
      <c r="Z46" s="1936"/>
      <c r="AA46" s="1936"/>
      <c r="AB46" s="1936"/>
      <c r="AC46" s="1936"/>
      <c r="AD46" s="1936"/>
      <c r="AE46" s="1936"/>
      <c r="AF46" s="1936"/>
      <c r="AG46" s="1936"/>
      <c r="AH46" s="1936"/>
      <c r="AI46" s="1937"/>
    </row>
    <row r="47" spans="1:35" ht="12.75" customHeight="1">
      <c r="A47" s="1930"/>
      <c r="B47" s="2677"/>
      <c r="C47" s="2678"/>
      <c r="D47" s="1935"/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7"/>
    </row>
    <row r="48" spans="1:35" ht="13.5" customHeight="1" thickBot="1">
      <c r="A48" s="1931"/>
      <c r="B48" s="2679"/>
      <c r="C48" s="2680"/>
      <c r="D48" s="1935"/>
      <c r="E48" s="1936"/>
      <c r="F48" s="1936"/>
      <c r="G48" s="1936"/>
      <c r="H48" s="1936"/>
      <c r="I48" s="1936"/>
      <c r="J48" s="1936"/>
      <c r="K48" s="1936"/>
      <c r="L48" s="1936"/>
      <c r="M48" s="1936"/>
      <c r="N48" s="1936"/>
      <c r="O48" s="1936"/>
      <c r="P48" s="1936"/>
      <c r="Q48" s="1936"/>
      <c r="R48" s="1936"/>
      <c r="S48" s="1936"/>
      <c r="T48" s="1936"/>
      <c r="U48" s="1936"/>
      <c r="V48" s="1936"/>
      <c r="W48" s="1936"/>
      <c r="X48" s="1936"/>
      <c r="Y48" s="1936"/>
      <c r="Z48" s="1936"/>
      <c r="AA48" s="1936"/>
      <c r="AB48" s="1936"/>
      <c r="AC48" s="1936"/>
      <c r="AD48" s="1936"/>
      <c r="AE48" s="1936"/>
      <c r="AF48" s="1936"/>
      <c r="AG48" s="1936"/>
      <c r="AH48" s="1936"/>
      <c r="AI48" s="1937"/>
    </row>
    <row r="49" spans="1:35" ht="13.5" customHeight="1">
      <c r="A49" s="1941" t="s">
        <v>209</v>
      </c>
      <c r="B49" s="1942"/>
      <c r="C49" s="1943"/>
      <c r="D49" s="1935"/>
      <c r="E49" s="1936"/>
      <c r="F49" s="1936"/>
      <c r="G49" s="1936"/>
      <c r="H49" s="1936"/>
      <c r="I49" s="1936"/>
      <c r="J49" s="1936"/>
      <c r="K49" s="1936"/>
      <c r="L49" s="1936"/>
      <c r="M49" s="1936"/>
      <c r="N49" s="1936"/>
      <c r="O49" s="1936"/>
      <c r="P49" s="1936"/>
      <c r="Q49" s="1936"/>
      <c r="R49" s="1936"/>
      <c r="S49" s="1936"/>
      <c r="T49" s="1936"/>
      <c r="U49" s="1936"/>
      <c r="V49" s="1936"/>
      <c r="W49" s="1936"/>
      <c r="X49" s="1936"/>
      <c r="Y49" s="1936"/>
      <c r="Z49" s="1936"/>
      <c r="AA49" s="1936"/>
      <c r="AB49" s="1936"/>
      <c r="AC49" s="1936"/>
      <c r="AD49" s="1936"/>
      <c r="AE49" s="1936"/>
      <c r="AF49" s="1936"/>
      <c r="AG49" s="1936"/>
      <c r="AH49" s="1936"/>
      <c r="AI49" s="1937"/>
    </row>
    <row r="50" spans="1:35" ht="13.5" customHeight="1" thickBot="1">
      <c r="A50" s="1944">
        <f ca="1">TODAY()</f>
        <v>45364</v>
      </c>
      <c r="B50" s="1945"/>
      <c r="C50" s="1946"/>
      <c r="D50" s="1938"/>
      <c r="E50" s="1939"/>
      <c r="F50" s="1939"/>
      <c r="G50" s="1939"/>
      <c r="H50" s="1939"/>
      <c r="I50" s="1939"/>
      <c r="J50" s="1939"/>
      <c r="K50" s="1939"/>
      <c r="L50" s="1939"/>
      <c r="M50" s="1939"/>
      <c r="N50" s="1939"/>
      <c r="O50" s="1939"/>
      <c r="P50" s="1939"/>
      <c r="Q50" s="1939"/>
      <c r="R50" s="1939"/>
      <c r="S50" s="1939"/>
      <c r="T50" s="1939"/>
      <c r="U50" s="1939"/>
      <c r="V50" s="1939"/>
      <c r="W50" s="1939"/>
      <c r="X50" s="1939"/>
      <c r="Y50" s="1939"/>
      <c r="Z50" s="1939"/>
      <c r="AA50" s="1939"/>
      <c r="AB50" s="1939"/>
      <c r="AC50" s="1939"/>
      <c r="AD50" s="1939"/>
      <c r="AE50" s="1939"/>
      <c r="AF50" s="1939"/>
      <c r="AG50" s="1939"/>
      <c r="AH50" s="1939"/>
      <c r="AI50" s="1940"/>
    </row>
    <row r="51" spans="1:35">
      <c r="A51" t="s">
        <v>1071</v>
      </c>
      <c r="D51"/>
      <c r="I51"/>
      <c r="U51"/>
    </row>
    <row r="52" spans="1:35">
      <c r="D52"/>
      <c r="I52"/>
      <c r="U52"/>
    </row>
    <row r="53" spans="1:35">
      <c r="D53"/>
      <c r="I53"/>
      <c r="U53"/>
      <c r="AH53" s="572"/>
    </row>
    <row r="54" spans="1:35">
      <c r="D54"/>
      <c r="I54"/>
      <c r="U54"/>
    </row>
    <row r="55" spans="1:35">
      <c r="D55"/>
      <c r="I55"/>
      <c r="U55"/>
    </row>
    <row r="56" spans="1:35">
      <c r="D56"/>
      <c r="I56"/>
      <c r="U56"/>
    </row>
    <row r="57" spans="1:35">
      <c r="D57"/>
      <c r="I57"/>
      <c r="U57"/>
    </row>
    <row r="58" spans="1:35">
      <c r="D58"/>
      <c r="I58"/>
      <c r="U58"/>
    </row>
    <row r="59" spans="1:35">
      <c r="D59"/>
      <c r="I59"/>
      <c r="U59"/>
    </row>
    <row r="60" spans="1:35">
      <c r="D60"/>
      <c r="I60"/>
      <c r="U60"/>
    </row>
    <row r="61" spans="1:35">
      <c r="D61"/>
      <c r="I61"/>
      <c r="U61"/>
    </row>
    <row r="62" spans="1:35">
      <c r="D62"/>
      <c r="I62"/>
      <c r="U62"/>
    </row>
    <row r="63" spans="1:35">
      <c r="D63"/>
      <c r="I63"/>
      <c r="U63"/>
    </row>
    <row r="64" spans="1:35">
      <c r="D64"/>
      <c r="I64"/>
      <c r="U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</sheetData>
  <mergeCells count="303">
    <mergeCell ref="B3:C3"/>
    <mergeCell ref="B4:C4"/>
    <mergeCell ref="B5:C5"/>
    <mergeCell ref="B10:C10"/>
    <mergeCell ref="B13:C13"/>
    <mergeCell ref="B17:C17"/>
    <mergeCell ref="B15:C15"/>
    <mergeCell ref="B14:C14"/>
    <mergeCell ref="B21:C21"/>
    <mergeCell ref="B16:C16"/>
    <mergeCell ref="B6:C6"/>
    <mergeCell ref="A8:C8"/>
    <mergeCell ref="B11:C11"/>
    <mergeCell ref="B12:C12"/>
    <mergeCell ref="B7:C7"/>
    <mergeCell ref="A19:C19"/>
    <mergeCell ref="B20:C20"/>
    <mergeCell ref="B9:C9"/>
    <mergeCell ref="AI30:AI32"/>
    <mergeCell ref="A46:A48"/>
    <mergeCell ref="A42:A45"/>
    <mergeCell ref="B22:C48"/>
    <mergeCell ref="A22:A35"/>
    <mergeCell ref="E24:E26"/>
    <mergeCell ref="F24:F26"/>
    <mergeCell ref="D27:D29"/>
    <mergeCell ref="E27:E29"/>
    <mergeCell ref="F27:F29"/>
    <mergeCell ref="D24:D26"/>
    <mergeCell ref="D42:AI50"/>
    <mergeCell ref="G30:G32"/>
    <mergeCell ref="H30:H32"/>
    <mergeCell ref="A49:C49"/>
    <mergeCell ref="A50:C50"/>
    <mergeCell ref="G27:G29"/>
    <mergeCell ref="H27:H29"/>
    <mergeCell ref="I27:I29"/>
    <mergeCell ref="I30:I32"/>
    <mergeCell ref="D30:D32"/>
    <mergeCell ref="E30:E32"/>
    <mergeCell ref="F30:F32"/>
    <mergeCell ref="AE21:AE23"/>
    <mergeCell ref="AI27:AI29"/>
    <mergeCell ref="W27:W29"/>
    <mergeCell ref="X27:X29"/>
    <mergeCell ref="Y27:Y29"/>
    <mergeCell ref="Z27:Z29"/>
    <mergeCell ref="AA27:AA29"/>
    <mergeCell ref="W24:W26"/>
    <mergeCell ref="X24:X26"/>
    <mergeCell ref="Y24:Y26"/>
    <mergeCell ref="AF24:AF26"/>
    <mergeCell ref="AE24:AE26"/>
    <mergeCell ref="AG27:AG29"/>
    <mergeCell ref="AH27:AH29"/>
    <mergeCell ref="W21:W23"/>
    <mergeCell ref="Y21:Y23"/>
    <mergeCell ref="V27:V29"/>
    <mergeCell ref="U24:U26"/>
    <mergeCell ref="V24:V26"/>
    <mergeCell ref="AF27:AF29"/>
    <mergeCell ref="AC30:AC32"/>
    <mergeCell ref="U30:U32"/>
    <mergeCell ref="V30:V32"/>
    <mergeCell ref="AC27:AC29"/>
    <mergeCell ref="AD27:AD29"/>
    <mergeCell ref="AA30:AA32"/>
    <mergeCell ref="AB27:AB29"/>
    <mergeCell ref="U27:U29"/>
    <mergeCell ref="X21:X23"/>
    <mergeCell ref="AH30:AH32"/>
    <mergeCell ref="AB30:AB32"/>
    <mergeCell ref="AD30:AD32"/>
    <mergeCell ref="AG30:AG32"/>
    <mergeCell ref="AE27:AE29"/>
    <mergeCell ref="AE30:AE32"/>
    <mergeCell ref="W30:W32"/>
    <mergeCell ref="AF30:AF32"/>
    <mergeCell ref="X30:X32"/>
    <mergeCell ref="Y30:Y32"/>
    <mergeCell ref="Z30:Z32"/>
    <mergeCell ref="AH21:AH23"/>
    <mergeCell ref="AI21:AI23"/>
    <mergeCell ref="AB21:AB23"/>
    <mergeCell ref="Z24:Z26"/>
    <mergeCell ref="AI24:AI26"/>
    <mergeCell ref="AC24:AC26"/>
    <mergeCell ref="AD24:AD26"/>
    <mergeCell ref="AG24:AG26"/>
    <mergeCell ref="AH24:AH26"/>
    <mergeCell ref="AB24:AB26"/>
    <mergeCell ref="AA24:AA26"/>
    <mergeCell ref="AC21:AC23"/>
    <mergeCell ref="AD21:AD23"/>
    <mergeCell ref="AG21:AG23"/>
    <mergeCell ref="Z21:Z23"/>
    <mergeCell ref="AA21:AA23"/>
    <mergeCell ref="AF21:AF23"/>
    <mergeCell ref="W18:W20"/>
    <mergeCell ref="U18:U20"/>
    <mergeCell ref="V18:V20"/>
    <mergeCell ref="AG12:AG14"/>
    <mergeCell ref="AH12:AH14"/>
    <mergeCell ref="AI12:AI14"/>
    <mergeCell ref="X18:X20"/>
    <mergeCell ref="Y15:Y17"/>
    <mergeCell ref="Z15:Z17"/>
    <mergeCell ref="AA15:AA17"/>
    <mergeCell ref="AG18:AG20"/>
    <mergeCell ref="AH15:AH17"/>
    <mergeCell ref="AC18:AC20"/>
    <mergeCell ref="AD18:AD20"/>
    <mergeCell ref="AF12:AF14"/>
    <mergeCell ref="AF15:AF17"/>
    <mergeCell ref="AF18:AF20"/>
    <mergeCell ref="AC12:AC14"/>
    <mergeCell ref="AE12:AE14"/>
    <mergeCell ref="AE15:AE17"/>
    <mergeCell ref="AE18:AE20"/>
    <mergeCell ref="AA12:AA14"/>
    <mergeCell ref="AB12:AB14"/>
    <mergeCell ref="X15:X17"/>
    <mergeCell ref="AI18:AI20"/>
    <mergeCell ref="AH18:AH20"/>
    <mergeCell ref="AA18:AA20"/>
    <mergeCell ref="AB18:AB20"/>
    <mergeCell ref="Y18:Y20"/>
    <mergeCell ref="AI15:AI17"/>
    <mergeCell ref="AB15:AB17"/>
    <mergeCell ref="AC15:AC17"/>
    <mergeCell ref="AD15:AD17"/>
    <mergeCell ref="AG15:AG17"/>
    <mergeCell ref="Z18:Z20"/>
    <mergeCell ref="X12:X14"/>
    <mergeCell ref="Y12:Y14"/>
    <mergeCell ref="Z12:Z14"/>
    <mergeCell ref="AD9:AD11"/>
    <mergeCell ref="AD12:AD14"/>
    <mergeCell ref="I9:I11"/>
    <mergeCell ref="U9:U11"/>
    <mergeCell ref="F15:F17"/>
    <mergeCell ref="G15:G17"/>
    <mergeCell ref="H15:H17"/>
    <mergeCell ref="I15:I17"/>
    <mergeCell ref="U15:U17"/>
    <mergeCell ref="W15:W17"/>
    <mergeCell ref="W12:W14"/>
    <mergeCell ref="I12:I14"/>
    <mergeCell ref="U12:U14"/>
    <mergeCell ref="V12:V14"/>
    <mergeCell ref="AG9:AG11"/>
    <mergeCell ref="AH9:AH11"/>
    <mergeCell ref="AH6:AH8"/>
    <mergeCell ref="H9:H11"/>
    <mergeCell ref="AI9:AI11"/>
    <mergeCell ref="V9:V11"/>
    <mergeCell ref="W9:W11"/>
    <mergeCell ref="X9:X11"/>
    <mergeCell ref="Y9:Y11"/>
    <mergeCell ref="Z9:Z11"/>
    <mergeCell ref="AA9:AA11"/>
    <mergeCell ref="AF9:AF11"/>
    <mergeCell ref="AE9:AE11"/>
    <mergeCell ref="AB9:AB11"/>
    <mergeCell ref="AC9:AC11"/>
    <mergeCell ref="AI3:AI5"/>
    <mergeCell ref="AC3:AC5"/>
    <mergeCell ref="AD3:AD5"/>
    <mergeCell ref="AG3:AG5"/>
    <mergeCell ref="AH3:AH5"/>
    <mergeCell ref="I6:I8"/>
    <mergeCell ref="Z3:Z5"/>
    <mergeCell ref="AA3:AA5"/>
    <mergeCell ref="AB3:AB5"/>
    <mergeCell ref="I3:I5"/>
    <mergeCell ref="U3:U5"/>
    <mergeCell ref="V3:V5"/>
    <mergeCell ref="W3:W5"/>
    <mergeCell ref="X3:X5"/>
    <mergeCell ref="Y3:Y5"/>
    <mergeCell ref="AI6:AI8"/>
    <mergeCell ref="AC6:AC8"/>
    <mergeCell ref="AD6:AD8"/>
    <mergeCell ref="AG6:AG8"/>
    <mergeCell ref="Y2:AB2"/>
    <mergeCell ref="D3:D5"/>
    <mergeCell ref="E3:E5"/>
    <mergeCell ref="F3:F5"/>
    <mergeCell ref="G3:G5"/>
    <mergeCell ref="H3:H5"/>
    <mergeCell ref="AE3:AE5"/>
    <mergeCell ref="AE6:AE8"/>
    <mergeCell ref="AF3:AF5"/>
    <mergeCell ref="AF6:AF8"/>
    <mergeCell ref="D6:D8"/>
    <mergeCell ref="AB6:AB8"/>
    <mergeCell ref="U6:U8"/>
    <mergeCell ref="V6:V8"/>
    <mergeCell ref="W6:W8"/>
    <mergeCell ref="X6:X8"/>
    <mergeCell ref="Y6:Y8"/>
    <mergeCell ref="Z6:Z8"/>
    <mergeCell ref="AA6:AA8"/>
    <mergeCell ref="I1:T1"/>
    <mergeCell ref="H12:H14"/>
    <mergeCell ref="A36:A41"/>
    <mergeCell ref="A1:C2"/>
    <mergeCell ref="D1:H1"/>
    <mergeCell ref="D21:D23"/>
    <mergeCell ref="E21:E23"/>
    <mergeCell ref="F21:F23"/>
    <mergeCell ref="G21:G23"/>
    <mergeCell ref="H21:H23"/>
    <mergeCell ref="D18:D20"/>
    <mergeCell ref="E18:E20"/>
    <mergeCell ref="E6:E8"/>
    <mergeCell ref="F6:F8"/>
    <mergeCell ref="G6:G8"/>
    <mergeCell ref="H6:H8"/>
    <mergeCell ref="D12:D14"/>
    <mergeCell ref="E12:E14"/>
    <mergeCell ref="F12:F14"/>
    <mergeCell ref="G12:G14"/>
    <mergeCell ref="D9:D11"/>
    <mergeCell ref="E9:E11"/>
    <mergeCell ref="F9:F11"/>
    <mergeCell ref="G9:G11"/>
    <mergeCell ref="D33:D35"/>
    <mergeCell ref="E33:E35"/>
    <mergeCell ref="F33:F35"/>
    <mergeCell ref="G33:G35"/>
    <mergeCell ref="H33:H35"/>
    <mergeCell ref="I33:I35"/>
    <mergeCell ref="U33:U35"/>
    <mergeCell ref="V33:V35"/>
    <mergeCell ref="D15:D17"/>
    <mergeCell ref="V15:V17"/>
    <mergeCell ref="F18:F20"/>
    <mergeCell ref="G18:G20"/>
    <mergeCell ref="H18:H20"/>
    <mergeCell ref="I18:I20"/>
    <mergeCell ref="G24:G26"/>
    <mergeCell ref="H24:H26"/>
    <mergeCell ref="I24:I26"/>
    <mergeCell ref="I21:I23"/>
    <mergeCell ref="U21:U23"/>
    <mergeCell ref="V21:V23"/>
    <mergeCell ref="E15:E17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D36:D38"/>
    <mergeCell ref="E36:E38"/>
    <mergeCell ref="F36:F38"/>
    <mergeCell ref="G36:G38"/>
    <mergeCell ref="H36:H38"/>
    <mergeCell ref="I36:I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AG36:AG38"/>
    <mergeCell ref="AH36:AH38"/>
    <mergeCell ref="AI36:AI38"/>
    <mergeCell ref="D39:D41"/>
    <mergeCell ref="E39:E41"/>
    <mergeCell ref="F39:F41"/>
    <mergeCell ref="G39:G41"/>
    <mergeCell ref="H39:H41"/>
    <mergeCell ref="I39:I41"/>
    <mergeCell ref="U39:U41"/>
    <mergeCell ref="V39:V41"/>
    <mergeCell ref="W39:W41"/>
    <mergeCell ref="AG39:AG41"/>
    <mergeCell ref="AH39:AH41"/>
    <mergeCell ref="AI39:AI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</mergeCells>
  <conditionalFormatting sqref="D2:H2 AC2 AI2 W2:Y2 AD2:AD4 AG2:AH4 U2:V4 U6:U32 AD6:AD32 V6:V7 V9:V10 V12:V13 V15:V16 V18:V19 V21:V22 V24:V25 V27:V28 V30:V31 W6:W32 AG6:AH32">
    <cfRule type="cellIs" dxfId="53" priority="11" stopIfTrue="1" operator="equal">
      <formula>0</formula>
    </cfRule>
  </conditionalFormatting>
  <conditionalFormatting sqref="W3:W32">
    <cfRule type="cellIs" dxfId="52" priority="7" stopIfTrue="1" operator="equal">
      <formula>0</formula>
    </cfRule>
  </conditionalFormatting>
  <conditionalFormatting sqref="U33:U41 AD33:AD41 V33:V34 V36:V37 V39:V40 W33:W41 AG33:AH41">
    <cfRule type="cellIs" dxfId="51" priority="2" stopIfTrue="1" operator="equal">
      <formula>0</formula>
    </cfRule>
  </conditionalFormatting>
  <conditionalFormatting sqref="W33:W41">
    <cfRule type="cellIs" dxfId="50" priority="1" stopIfTrue="1" operator="equal">
      <formula>0</formula>
    </cfRule>
  </conditionalFormatting>
  <printOptions horizontalCentered="1" verticalCentered="1"/>
  <pageMargins left="0" right="0" top="0.12" bottom="0.12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indexed="49"/>
  </sheetPr>
  <dimension ref="A1:AI111"/>
  <sheetViews>
    <sheetView zoomScaleNormal="100" workbookViewId="0">
      <selection activeCell="B22" sqref="B22:C48"/>
    </sheetView>
  </sheetViews>
  <sheetFormatPr defaultRowHeight="13.2"/>
  <cols>
    <col min="2" max="2" width="3" customWidth="1"/>
    <col min="3" max="3" width="7.6640625" customWidth="1"/>
    <col min="4" max="4" width="4.6640625" style="44" customWidth="1"/>
    <col min="5" max="8" width="4.6640625" customWidth="1"/>
    <col min="9" max="9" width="4.88671875" style="44" customWidth="1"/>
    <col min="10" max="10" width="5.44140625" bestFit="1" customWidth="1"/>
    <col min="11" max="20" width="4.6640625" customWidth="1"/>
    <col min="21" max="21" width="4.88671875" style="44" customWidth="1"/>
    <col min="22" max="24" width="4.6640625" customWidth="1"/>
    <col min="25" max="28" width="3.44140625" customWidth="1"/>
    <col min="29" max="29" width="4.6640625" customWidth="1"/>
    <col min="30" max="30" width="6.33203125" bestFit="1" customWidth="1"/>
    <col min="31" max="31" width="4.109375" bestFit="1" customWidth="1"/>
    <col min="32" max="32" width="4.109375" customWidth="1"/>
    <col min="33" max="34" width="4.6640625" customWidth="1"/>
    <col min="35" max="35" width="5.5546875" customWidth="1"/>
    <col min="36" max="37" width="4.6640625" customWidth="1"/>
  </cols>
  <sheetData>
    <row r="1" spans="1:35" ht="13.8" thickBot="1">
      <c r="A1" s="1807" t="s">
        <v>715</v>
      </c>
      <c r="B1" s="1808"/>
      <c r="C1" s="1808"/>
      <c r="D1" s="2092" t="s">
        <v>211</v>
      </c>
      <c r="E1" s="1804"/>
      <c r="F1" s="1804"/>
      <c r="G1" s="1804"/>
      <c r="H1" s="1805"/>
      <c r="I1" s="2092" t="s">
        <v>212</v>
      </c>
      <c r="J1" s="2100"/>
      <c r="K1" s="2100"/>
      <c r="L1" s="2100"/>
      <c r="M1" s="2100"/>
      <c r="N1" s="2100"/>
      <c r="O1" s="2100"/>
      <c r="P1" s="2100"/>
      <c r="Q1" s="2100"/>
      <c r="R1" s="2100"/>
      <c r="S1" s="2100"/>
      <c r="T1" s="2101"/>
      <c r="U1" s="1119" t="s">
        <v>213</v>
      </c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10"/>
    </row>
    <row r="2" spans="1:35" ht="27" customHeight="1" thickBot="1">
      <c r="A2" s="1809"/>
      <c r="B2" s="1810"/>
      <c r="C2" s="1810"/>
      <c r="D2" s="1108" t="s">
        <v>214</v>
      </c>
      <c r="E2" s="1107" t="s">
        <v>215</v>
      </c>
      <c r="F2" s="327" t="s">
        <v>107</v>
      </c>
      <c r="G2" s="327" t="s">
        <v>216</v>
      </c>
      <c r="H2" s="328" t="s">
        <v>56</v>
      </c>
      <c r="I2" s="1064" t="s">
        <v>216</v>
      </c>
      <c r="J2" s="1102" t="s">
        <v>217</v>
      </c>
      <c r="K2" s="1089">
        <v>1</v>
      </c>
      <c r="L2" s="1065">
        <v>2</v>
      </c>
      <c r="M2" s="1065">
        <v>3</v>
      </c>
      <c r="N2" s="1065">
        <v>4</v>
      </c>
      <c r="O2" s="1065">
        <v>5</v>
      </c>
      <c r="P2" s="1065">
        <v>6</v>
      </c>
      <c r="Q2" s="1065">
        <v>7</v>
      </c>
      <c r="R2" s="1066">
        <v>8</v>
      </c>
      <c r="S2" s="1067">
        <v>9</v>
      </c>
      <c r="T2" s="1068">
        <v>10</v>
      </c>
      <c r="U2" s="1276" t="s">
        <v>214</v>
      </c>
      <c r="V2" s="216" t="s">
        <v>18</v>
      </c>
      <c r="W2" s="216" t="s">
        <v>15</v>
      </c>
      <c r="X2" s="660" t="s">
        <v>14</v>
      </c>
      <c r="Y2" s="2093" t="s">
        <v>218</v>
      </c>
      <c r="Z2" s="2094"/>
      <c r="AA2" s="2095"/>
      <c r="AB2" s="2096"/>
      <c r="AC2" s="1277" t="s">
        <v>219</v>
      </c>
      <c r="AD2" s="1278" t="s">
        <v>16</v>
      </c>
      <c r="AE2" s="1279" t="s">
        <v>17</v>
      </c>
      <c r="AF2" s="1278" t="s">
        <v>4</v>
      </c>
      <c r="AG2" s="1280" t="s">
        <v>3975</v>
      </c>
      <c r="AH2" s="1280" t="s">
        <v>3976</v>
      </c>
      <c r="AI2" s="1281" t="s">
        <v>2410</v>
      </c>
    </row>
    <row r="3" spans="1:35" ht="13.8" thickTop="1">
      <c r="A3" s="563" t="s">
        <v>220</v>
      </c>
      <c r="B3" s="1947">
        <f>VLOOKUP("Test OpMode",Data!$A:$B,2,FALSE)</f>
        <v>0</v>
      </c>
      <c r="C3" s="1948"/>
      <c r="D3" s="1997">
        <v>20</v>
      </c>
      <c r="E3" s="2097">
        <f>VLOOKUP("Cycle Time",Data!$A:$Y,21,FALSE)</f>
        <v>0</v>
      </c>
      <c r="F3" s="2098">
        <f>VLOOKUP("Offset Time",Data!$A:$Y,21,FALSE)</f>
        <v>0</v>
      </c>
      <c r="G3" s="2098">
        <f>VLOOKUP("Split Number",Data!$A:$Y,21,FALSE)</f>
        <v>0</v>
      </c>
      <c r="H3" s="2099">
        <f>VLOOKUP("Seq Number",Data!$A:$Y,21,FALSE)</f>
        <v>1</v>
      </c>
      <c r="I3" s="1997">
        <v>20</v>
      </c>
      <c r="J3" s="1059" t="s">
        <v>216</v>
      </c>
      <c r="K3" s="1090">
        <f>VLOOKUP("Time",Data!$A$2501:$K$2506,2,FALSE)</f>
        <v>0</v>
      </c>
      <c r="L3" s="1060">
        <f>VLOOKUP("Time",Data!$A$2501:$K$2506,3,FALSE)</f>
        <v>0</v>
      </c>
      <c r="M3" s="1060">
        <f>VLOOKUP("Time",Data!$A$2501:$K$2506,4,FALSE)</f>
        <v>0</v>
      </c>
      <c r="N3" s="1060">
        <f>VLOOKUP("Time",Data!$A$2501:$K$2506,5,FALSE)</f>
        <v>0</v>
      </c>
      <c r="O3" s="1060">
        <f>VLOOKUP("Time",Data!$A$2501:$K$2506,6,FALSE)</f>
        <v>0</v>
      </c>
      <c r="P3" s="1060">
        <f>VLOOKUP("Time",Data!$A$2501:$K$2506,7,FALSE)</f>
        <v>0</v>
      </c>
      <c r="Q3" s="1060">
        <f>VLOOKUP("Time",Data!$A$2501:$K$2506,8,FALSE)</f>
        <v>0</v>
      </c>
      <c r="R3" s="1060">
        <f>VLOOKUP("Time",Data!$A$2501:$K$2506,9,FALSE)</f>
        <v>0</v>
      </c>
      <c r="S3" s="1060">
        <f>VLOOKUP("Time",Data!$A$2501:$K$2506,10,FALSE)</f>
        <v>0</v>
      </c>
      <c r="T3" s="1077">
        <f>VLOOKUP("Time",Data!$A$2501:$K$2506,11,FALSE)</f>
        <v>0</v>
      </c>
      <c r="U3" s="1997">
        <v>20</v>
      </c>
      <c r="V3" s="2039">
        <f>VLOOKUP("Short",Data!$A$1249:$AG$1283,21,FALSE)</f>
        <v>0</v>
      </c>
      <c r="W3" s="1874">
        <f>VLOOKUP("Long",Data!$A$1249:$AG$1283,21,FALSE)</f>
        <v>17</v>
      </c>
      <c r="X3" s="2041">
        <f>VLOOKUP("Dwell",Data!$A$1249:$AG$1283,21,FALSE)</f>
        <v>0</v>
      </c>
      <c r="Y3" s="2059">
        <f>VLOOKUP("No Short P 1",Data!$A$1249:$AG$1283,21,FALSE)</f>
        <v>0</v>
      </c>
      <c r="Z3" s="2029">
        <f>VLOOKUP("No Short P 2",Data!$A$1249:$AG$1283,21,FALSE)</f>
        <v>0</v>
      </c>
      <c r="AA3" s="2029">
        <f>VLOOKUP("No Short P 3",Data!$A$1249:$AG$1283,21,FALSE)</f>
        <v>0</v>
      </c>
      <c r="AB3" s="2032">
        <f>VLOOKUP("No Short P 4",Data!$A$1249:$AG$1283,21,FALSE)</f>
        <v>0</v>
      </c>
      <c r="AC3" s="2086">
        <f>VLOOKUP("Early Yield",Data!$A$1249:$AG$1283,21,FALSE)</f>
        <v>0</v>
      </c>
      <c r="AD3" s="2089" t="str">
        <f>VLOOKUP("Offset",Data!$A$1249:$AG$1283,21,FALSE)</f>
        <v>BegGRN</v>
      </c>
      <c r="AE3" s="2077" t="str">
        <f>IF(VLOOKUP("Ret Hold",Data!$A$1249:$AG$1283,21,FALSE)= "On", "X", "-")</f>
        <v>-</v>
      </c>
      <c r="AF3" s="2077" t="str">
        <f>IF(VLOOKUP("Float",Data!$A$1249:$AG$1283,21,FALSE)= "On", "X", "-")</f>
        <v>-</v>
      </c>
      <c r="AG3" s="2080" t="str">
        <f>IF(VLOOKUP("Min Veh Perm",Data!$A$1249:$AG$1283,21,FALSE)= "ON", "X", "-")</f>
        <v>-</v>
      </c>
      <c r="AH3" s="2080" t="str">
        <f>IF(VLOOKUP("Min Ped Perm",Data!$A$1249:$AG$1283,21,FALSE)= "ON", "X", "-")</f>
        <v>-</v>
      </c>
      <c r="AI3" s="2083" t="str">
        <f>VLOOKUP("MI",Data!$A$1249:$AG$1283,21,FALSE)</f>
        <v>OFF</v>
      </c>
    </row>
    <row r="4" spans="1:35">
      <c r="A4" s="564" t="s">
        <v>221</v>
      </c>
      <c r="B4" s="1949" t="str">
        <f>VLOOKUP("Correction Mode",Data!$A:$B,2,FALSE)</f>
        <v>SHRT/LNG</v>
      </c>
      <c r="C4" s="1950"/>
      <c r="D4" s="1998"/>
      <c r="E4" s="2063"/>
      <c r="F4" s="2066"/>
      <c r="G4" s="2066"/>
      <c r="H4" s="2069"/>
      <c r="I4" s="1998"/>
      <c r="J4" s="1103" t="s">
        <v>646</v>
      </c>
      <c r="K4" s="1091" t="str">
        <f>IF(VLOOKUP("Coord Phase",Data!$A$2501:$K$2506,2,FALSE)="On", "X", " ")</f>
        <v xml:space="preserve"> </v>
      </c>
      <c r="L4" s="1061" t="str">
        <f>IF(VLOOKUP("Coord Phase",Data!$A$2501:$K$2506,3,FALSE)="On", "X", " ")</f>
        <v xml:space="preserve"> </v>
      </c>
      <c r="M4" s="1061" t="str">
        <f>IF(VLOOKUP("Coord Phase",Data!$A$2501:$K$2506,4,FALSE)="On", "X", " ")</f>
        <v xml:space="preserve"> </v>
      </c>
      <c r="N4" s="1061" t="str">
        <f>IF(VLOOKUP("Coord Phase",Data!$A$2501:$K$2506,5,FALSE)="On", "X", " ")</f>
        <v xml:space="preserve"> </v>
      </c>
      <c r="O4" s="1061" t="str">
        <f>IF(VLOOKUP("Coord Phase",Data!$A$2501:$K$2506,6,FALSE)="On", "X", " ")</f>
        <v xml:space="preserve"> </v>
      </c>
      <c r="P4" s="1061" t="str">
        <f>IF(VLOOKUP("Coord Phase",Data!$A$2501:$K$2506,7,FALSE)="On", "X", " ")</f>
        <v xml:space="preserve"> </v>
      </c>
      <c r="Q4" s="1061" t="str">
        <f>IF(VLOOKUP("Coord Phase",Data!$A$2501:$K$2506,8,FALSE)="On", "X", " ")</f>
        <v xml:space="preserve"> </v>
      </c>
      <c r="R4" s="1061" t="str">
        <f>IF(VLOOKUP("Coord Phase",Data!$A$2501:$K$2506,9,FALSE)="On", "X", " ")</f>
        <v xml:space="preserve"> </v>
      </c>
      <c r="S4" s="1061" t="str">
        <f>IF(VLOOKUP("Coord Phase",Data!$A$2501:$K$2506,10,FALSE)="On", "X", " ")</f>
        <v xml:space="preserve"> </v>
      </c>
      <c r="T4" s="1078" t="str">
        <f>IF(VLOOKUP("Coord Phase",Data!$A$2501:$K$2506,11,FALSE)="On", "X", " ")</f>
        <v xml:space="preserve"> </v>
      </c>
      <c r="U4" s="1998"/>
      <c r="V4" s="2035"/>
      <c r="W4" s="1825"/>
      <c r="X4" s="2042"/>
      <c r="Y4" s="2060"/>
      <c r="Z4" s="2030"/>
      <c r="AA4" s="2030"/>
      <c r="AB4" s="2027"/>
      <c r="AC4" s="2087"/>
      <c r="AD4" s="2090"/>
      <c r="AE4" s="2078"/>
      <c r="AF4" s="2078"/>
      <c r="AG4" s="2081"/>
      <c r="AH4" s="2081"/>
      <c r="AI4" s="2084"/>
    </row>
    <row r="5" spans="1:35" ht="13.8" thickBot="1">
      <c r="A5" s="564" t="s">
        <v>222</v>
      </c>
      <c r="B5" s="1949" t="str">
        <f>VLOOKUP("Maximum Mode",Data!$A:$B,2,FALSE)</f>
        <v>MAX INH</v>
      </c>
      <c r="C5" s="1950"/>
      <c r="D5" s="2025"/>
      <c r="E5" s="2064"/>
      <c r="F5" s="2067"/>
      <c r="G5" s="2067"/>
      <c r="H5" s="2070"/>
      <c r="I5" s="2025"/>
      <c r="J5" s="1104" t="s">
        <v>53</v>
      </c>
      <c r="K5" s="1092" t="str">
        <f>VLOOKUP("Mode",Data!$A$2501:$K$2506,2,FALSE)</f>
        <v>NON</v>
      </c>
      <c r="L5" s="1063" t="str">
        <f>VLOOKUP("Mode",Data!$A$2501:$K$2506,3,FALSE)</f>
        <v>NON</v>
      </c>
      <c r="M5" s="1063" t="str">
        <f>VLOOKUP("Mode",Data!$A$2501:$K$2506,4,FALSE)</f>
        <v>NON</v>
      </c>
      <c r="N5" s="1063" t="str">
        <f>VLOOKUP("Mode",Data!$A$2501:$K$2506,5,FALSE)</f>
        <v>NON</v>
      </c>
      <c r="O5" s="1063" t="str">
        <f>VLOOKUP("Mode",Data!$A$2501:$K$2506,6,FALSE)</f>
        <v>NON</v>
      </c>
      <c r="P5" s="1063" t="str">
        <f>VLOOKUP("Mode",Data!$A$2501:$K$2506,7,FALSE)</f>
        <v>NON</v>
      </c>
      <c r="Q5" s="1063" t="str">
        <f>VLOOKUP("Mode",Data!$A$2501:$K$2506,8,FALSE)</f>
        <v>NON</v>
      </c>
      <c r="R5" s="1063" t="str">
        <f>VLOOKUP("Mode",Data!$A$2501:$K$2506,9,FALSE)</f>
        <v>NON</v>
      </c>
      <c r="S5" s="1063" t="str">
        <f>VLOOKUP("Mode",Data!$A$2501:$K$2506,10,FALSE)</f>
        <v>NON</v>
      </c>
      <c r="T5" s="1079" t="str">
        <f>VLOOKUP("Mode",Data!$A$2501:$K$2506,11,FALSE)</f>
        <v>NON</v>
      </c>
      <c r="U5" s="2025"/>
      <c r="V5" s="2040"/>
      <c r="W5" s="1826"/>
      <c r="X5" s="2043"/>
      <c r="Y5" s="2061"/>
      <c r="Z5" s="2031"/>
      <c r="AA5" s="2031"/>
      <c r="AB5" s="2033"/>
      <c r="AC5" s="2088"/>
      <c r="AD5" s="2091"/>
      <c r="AE5" s="2079"/>
      <c r="AF5" s="2079"/>
      <c r="AG5" s="2082"/>
      <c r="AH5" s="2082"/>
      <c r="AI5" s="2085"/>
    </row>
    <row r="6" spans="1:35">
      <c r="A6" s="565" t="s">
        <v>11</v>
      </c>
      <c r="B6" s="1957" t="str">
        <f>VLOOKUP("Force Mode",Data!$A:$B,2,FALSE)</f>
        <v>FIXED</v>
      </c>
      <c r="C6" s="1958"/>
      <c r="D6" s="2009">
        <v>21</v>
      </c>
      <c r="E6" s="2074">
        <f>VLOOKUP("Cycle Time",Data!$A:$Y,22,FALSE)</f>
        <v>0</v>
      </c>
      <c r="F6" s="2075">
        <f>VLOOKUP("Offset Time",Data!$A:$Y,22,FALSE)</f>
        <v>0</v>
      </c>
      <c r="G6" s="2075">
        <f>VLOOKUP("Split Number",Data!$A:$Y,22,FALSE)</f>
        <v>0</v>
      </c>
      <c r="H6" s="2076">
        <f>VLOOKUP("Seq Number",Data!$A:$Y,22,FALSE)</f>
        <v>1</v>
      </c>
      <c r="I6" s="2009">
        <v>21</v>
      </c>
      <c r="J6" s="1105" t="s">
        <v>216</v>
      </c>
      <c r="K6" s="1093">
        <f>VLOOKUP("Time",Data!$A$2507:$K$2512,2,FALSE)</f>
        <v>0</v>
      </c>
      <c r="L6" s="1069">
        <f>VLOOKUP("Time",Data!$A$2507:$K$2512,3,FALSE)</f>
        <v>0</v>
      </c>
      <c r="M6" s="1069">
        <f>VLOOKUP("Time",Data!$A$2507:$K$2512,4,FALSE)</f>
        <v>0</v>
      </c>
      <c r="N6" s="1069">
        <f>VLOOKUP("Time",Data!$A$2507:$K$2512,5,FALSE)</f>
        <v>0</v>
      </c>
      <c r="O6" s="1069">
        <f>VLOOKUP("Time",Data!$A$2507:$K$2512,6,FALSE)</f>
        <v>0</v>
      </c>
      <c r="P6" s="1069">
        <f>VLOOKUP("Time",Data!$A$2507:$K$2512,7,FALSE)</f>
        <v>0</v>
      </c>
      <c r="Q6" s="1069">
        <f>VLOOKUP("Time",Data!$A$2507:$K$2512,8,FALSE)</f>
        <v>0</v>
      </c>
      <c r="R6" s="1069">
        <f>VLOOKUP("Time",Data!$A$2507:$K$2512,9,FALSE)</f>
        <v>0</v>
      </c>
      <c r="S6" s="1069">
        <f>VLOOKUP("Time",Data!$A$2507:$K$2512,10,FALSE)</f>
        <v>0</v>
      </c>
      <c r="T6" s="1080">
        <f>VLOOKUP("Time",Data!$A$2507:$K$2512,11,FALSE)</f>
        <v>0</v>
      </c>
      <c r="U6" s="2009">
        <v>21</v>
      </c>
      <c r="V6" s="2049">
        <f>VLOOKUP("Short",Data!$A$1249:$AG$1283,22,FALSE)</f>
        <v>0</v>
      </c>
      <c r="W6" s="2051">
        <f>VLOOKUP("Long",Data!$A$1249:$AG$1283,22,FALSE)</f>
        <v>17</v>
      </c>
      <c r="X6" s="2053">
        <f>VLOOKUP("Dwell",Data!$A$1249:$AG$1283,22,FALSE)</f>
        <v>0</v>
      </c>
      <c r="Y6" s="2055">
        <f>VLOOKUP("No Short P 1",Data!$A$1249:$AG$1283,22,FALSE)</f>
        <v>0</v>
      </c>
      <c r="Z6" s="2057">
        <f>VLOOKUP("No Short P 2",Data!$A$1249:$AG$1283,22,FALSE)</f>
        <v>0</v>
      </c>
      <c r="AA6" s="2057">
        <f>VLOOKUP("No Short P 3",Data!$A$1249:$AG$1283,22,FALSE)</f>
        <v>0</v>
      </c>
      <c r="AB6" s="2047">
        <f>VLOOKUP("No Short P 4",Data!$A$1249:$AG$1283,22,FALSE)</f>
        <v>0</v>
      </c>
      <c r="AC6" s="2019">
        <f>VLOOKUP("Early Yield",Data!$A$1249:$AG$1283,22,FALSE)</f>
        <v>0</v>
      </c>
      <c r="AD6" s="2022" t="str">
        <f>VLOOKUP("Offset",Data!$A$1249:$AG$1283,22,FALSE)</f>
        <v>BegGRN</v>
      </c>
      <c r="AE6" s="1982" t="str">
        <f>IF(VLOOKUP("Ret Hold",Data!$A$1249:$AG$1283,22,FALSE)= "On", "X", "-")</f>
        <v>-</v>
      </c>
      <c r="AF6" s="1982" t="str">
        <f>IF(VLOOKUP("Float",Data!$A$1249:$AG$1283,22,FALSE)= "On", "X", "-")</f>
        <v>-</v>
      </c>
      <c r="AG6" s="1985" t="str">
        <f>IF(VLOOKUP("Min Veh Perm",Data!$A$1249:$AG$1283,22,FALSE)= "ON", "X", "-")</f>
        <v>-</v>
      </c>
      <c r="AH6" s="1985" t="str">
        <f>IF(VLOOKUP("Min Ped Perm",Data!$A$1249:$AG$1283,22,FALSE)= "ON", "X", "-")</f>
        <v>-</v>
      </c>
      <c r="AI6" s="1994" t="str">
        <f>VLOOKUP("MI",Data!$A$1249:$AG$1283,22,FALSE)</f>
        <v>OFF</v>
      </c>
    </row>
    <row r="7" spans="1:35" ht="13.8" thickBot="1">
      <c r="A7" s="566" t="s">
        <v>714</v>
      </c>
      <c r="B7" s="1962" t="str">
        <f>VLOOKUP("Flash Mode",Data!$A:$B,2,FALSE)</f>
        <v>CHANNEL</v>
      </c>
      <c r="C7" s="1963"/>
      <c r="D7" s="1998"/>
      <c r="E7" s="2011"/>
      <c r="F7" s="2014"/>
      <c r="G7" s="2014"/>
      <c r="H7" s="2017"/>
      <c r="I7" s="1998"/>
      <c r="J7" s="1103" t="s">
        <v>646</v>
      </c>
      <c r="K7" s="1094" t="str">
        <f>IF(VLOOKUP("Coord Phase",Data!$A$2507:$K$2512,2,FALSE)="On", "X", " ")</f>
        <v xml:space="preserve"> </v>
      </c>
      <c r="L7" s="1070" t="str">
        <f>IF(VLOOKUP("Coord Phase",Data!$A$2507:$K$2512,3,FALSE)="On", "X", " ")</f>
        <v xml:space="preserve"> </v>
      </c>
      <c r="M7" s="1070" t="str">
        <f>IF(VLOOKUP("Coord Phase",Data!$A$2507:$K$2512,4,FALSE)="On", "X", " ")</f>
        <v xml:space="preserve"> </v>
      </c>
      <c r="N7" s="1070" t="str">
        <f>IF(VLOOKUP("Coord Phase",Data!$A$2507:$K$2512,5,FALSE)="On", "X", " ")</f>
        <v xml:space="preserve"> </v>
      </c>
      <c r="O7" s="1070" t="str">
        <f>IF(VLOOKUP("Coord Phase",Data!$A$2507:$K$2512,6,FALSE)="On", "X", " ")</f>
        <v xml:space="preserve"> </v>
      </c>
      <c r="P7" s="1070" t="str">
        <f>IF(VLOOKUP("Coord Phase",Data!$A$2507:$K$2512,7,FALSE)="On", "X", " ")</f>
        <v xml:space="preserve"> </v>
      </c>
      <c r="Q7" s="1070" t="str">
        <f>IF(VLOOKUP("Coord Phase",Data!$A$2507:$K$2512,8,FALSE)="On", "X", " ")</f>
        <v xml:space="preserve"> </v>
      </c>
      <c r="R7" s="1070" t="str">
        <f>IF(VLOOKUP("Coord Phase",Data!$A$2507:$K$2512,9,FALSE)="On", "X", " ")</f>
        <v xml:space="preserve"> </v>
      </c>
      <c r="S7" s="1070" t="str">
        <f>IF(VLOOKUP("Coord Phase",Data!$A$2507:$K$2512,10,FALSE)="On", "X", " ")</f>
        <v xml:space="preserve"> </v>
      </c>
      <c r="T7" s="1081" t="str">
        <f>IF(VLOOKUP("Coord Phase",Data!$A$2507:$K$2512,11,FALSE)="On", "X", " ")</f>
        <v xml:space="preserve"> </v>
      </c>
      <c r="U7" s="1998"/>
      <c r="V7" s="2020"/>
      <c r="W7" s="1986"/>
      <c r="X7" s="1989"/>
      <c r="Y7" s="1992"/>
      <c r="Z7" s="1983"/>
      <c r="AA7" s="1983"/>
      <c r="AB7" s="1995"/>
      <c r="AC7" s="2020"/>
      <c r="AD7" s="2023"/>
      <c r="AE7" s="1983"/>
      <c r="AF7" s="1983"/>
      <c r="AG7" s="1986"/>
      <c r="AH7" s="1986"/>
      <c r="AI7" s="1995"/>
    </row>
    <row r="8" spans="1:35" ht="13.8" thickBot="1">
      <c r="A8" s="1959" t="s">
        <v>716</v>
      </c>
      <c r="B8" s="1960"/>
      <c r="C8" s="1961"/>
      <c r="D8" s="1999"/>
      <c r="E8" s="2012"/>
      <c r="F8" s="2015"/>
      <c r="G8" s="2015"/>
      <c r="H8" s="2018"/>
      <c r="I8" s="1999"/>
      <c r="J8" s="1106" t="s">
        <v>53</v>
      </c>
      <c r="K8" s="1095" t="str">
        <f>VLOOKUP("Mode",Data!$A$2507:$K$2512,2,FALSE)</f>
        <v>NON</v>
      </c>
      <c r="L8" s="1071" t="str">
        <f>VLOOKUP("Mode",Data!$A$2507:$K$2512,3,FALSE)</f>
        <v>NON</v>
      </c>
      <c r="M8" s="1071" t="str">
        <f>VLOOKUP("Mode",Data!$A$2507:$K$2512,4,FALSE)</f>
        <v>NON</v>
      </c>
      <c r="N8" s="1071" t="str">
        <f>VLOOKUP("Mode",Data!$A$2507:$K$2512,5,FALSE)</f>
        <v>NON</v>
      </c>
      <c r="O8" s="1071" t="str">
        <f>VLOOKUP("Mode",Data!$A$2507:$K$2512,6,FALSE)</f>
        <v>NON</v>
      </c>
      <c r="P8" s="1071" t="str">
        <f>VLOOKUP("Mode",Data!$A$2507:$K$2512,7,FALSE)</f>
        <v>NON</v>
      </c>
      <c r="Q8" s="1071" t="str">
        <f>VLOOKUP("Mode",Data!$A$2507:$K$2512,8,FALSE)</f>
        <v>NON</v>
      </c>
      <c r="R8" s="1071" t="str">
        <f>VLOOKUP("Mode",Data!$A$2507:$K$2512,9,FALSE)</f>
        <v>NON</v>
      </c>
      <c r="S8" s="1071" t="str">
        <f>VLOOKUP("Mode",Data!$A$2507:$K$2512,10,FALSE)</f>
        <v>NON</v>
      </c>
      <c r="T8" s="1082" t="str">
        <f>VLOOKUP("Mode",Data!$A$2507:$K$2512,11,FALSE)</f>
        <v>NON</v>
      </c>
      <c r="U8" s="1999"/>
      <c r="V8" s="2050"/>
      <c r="W8" s="2052"/>
      <c r="X8" s="2054"/>
      <c r="Y8" s="2056"/>
      <c r="Z8" s="2058"/>
      <c r="AA8" s="2058"/>
      <c r="AB8" s="2048"/>
      <c r="AC8" s="2021"/>
      <c r="AD8" s="2024"/>
      <c r="AE8" s="1984"/>
      <c r="AF8" s="1984"/>
      <c r="AG8" s="1987"/>
      <c r="AH8" s="1987"/>
      <c r="AI8" s="1996"/>
    </row>
    <row r="9" spans="1:35" ht="13.8" thickTop="1">
      <c r="A9" s="567" t="s">
        <v>997</v>
      </c>
      <c r="B9" s="1951" t="str">
        <f>VLOOKUP("Free OnSeq Chang",Data!$A:$B,2,FALSE)</f>
        <v>ON</v>
      </c>
      <c r="C9" s="1952"/>
      <c r="D9" s="1997">
        <v>22</v>
      </c>
      <c r="E9" s="2062">
        <f>VLOOKUP("Cycle Time",Data!$A:$Y,23,FALSE)</f>
        <v>0</v>
      </c>
      <c r="F9" s="2065">
        <f>VLOOKUP("Offset Time",Data!$A:$Y,23,FALSE)</f>
        <v>0</v>
      </c>
      <c r="G9" s="2065">
        <f>VLOOKUP("Split Number",Data!$A:$Y,23,FALSE)</f>
        <v>0</v>
      </c>
      <c r="H9" s="2068">
        <f>VLOOKUP("Seq Number",Data!$A:$Y,23,FALSE)</f>
        <v>1</v>
      </c>
      <c r="I9" s="1997">
        <v>22</v>
      </c>
      <c r="J9" s="1059" t="s">
        <v>216</v>
      </c>
      <c r="K9" s="1096">
        <f>VLOOKUP("Time",Data!$A$2513:$K$2518,2,FALSE)</f>
        <v>0</v>
      </c>
      <c r="L9" s="1062">
        <f>VLOOKUP("Time",Data!$A$2513:$K$2518,3,FALSE)</f>
        <v>0</v>
      </c>
      <c r="M9" s="1062">
        <f>VLOOKUP("Time",Data!$A$2513:$K$2518,4,FALSE)</f>
        <v>0</v>
      </c>
      <c r="N9" s="1062">
        <f>VLOOKUP("Time",Data!$A$2513:$K$2518,5,FALSE)</f>
        <v>0</v>
      </c>
      <c r="O9" s="1062">
        <f>VLOOKUP("Time",Data!$A$2513:$K$2518,6,FALSE)</f>
        <v>0</v>
      </c>
      <c r="P9" s="1062">
        <f>VLOOKUP("Time",Data!$A$2513:$K$2518,7,FALSE)</f>
        <v>0</v>
      </c>
      <c r="Q9" s="1062">
        <f>VLOOKUP("Time",Data!$A$2513:$K$2518,8,FALSE)</f>
        <v>0</v>
      </c>
      <c r="R9" s="1062">
        <f>VLOOKUP("Time",Data!$A$2513:$K$2518,9,FALSE)</f>
        <v>0</v>
      </c>
      <c r="S9" s="1062">
        <f>VLOOKUP("Time",Data!$A$2513:$K$2518,10,FALSE)</f>
        <v>0</v>
      </c>
      <c r="T9" s="1083">
        <f>VLOOKUP("Time",Data!$A$2513:$K$2518,11,FALSE)</f>
        <v>0</v>
      </c>
      <c r="U9" s="1997">
        <v>22</v>
      </c>
      <c r="V9" s="2039">
        <f>VLOOKUP("Short",Data!$A$1249:$AG$1283,23,FALSE)</f>
        <v>0</v>
      </c>
      <c r="W9" s="1874">
        <f>VLOOKUP("Long",Data!$A$1249:$AG$1283,23,FALSE)</f>
        <v>17</v>
      </c>
      <c r="X9" s="2041">
        <f>VLOOKUP("Dwell",Data!$A$1249:$AG$1283,23,FALSE)</f>
        <v>0</v>
      </c>
      <c r="Y9" s="2059">
        <f>VLOOKUP("No Short P 1",Data!$A$1249:$AG$1283,23,FALSE)</f>
        <v>0</v>
      </c>
      <c r="Z9" s="2029">
        <f>VLOOKUP("No Short P 2",Data!$A$1249:$AG$1283,23,FALSE)</f>
        <v>0</v>
      </c>
      <c r="AA9" s="2029">
        <f>VLOOKUP("No Short P 3",Data!$A$1249:$AG$1283,23,FALSE)</f>
        <v>0</v>
      </c>
      <c r="AB9" s="2032">
        <f>VLOOKUP("No Short P 4",Data!$A$1249:$AG$1283,23,FALSE)</f>
        <v>0</v>
      </c>
      <c r="AC9" s="2073">
        <f>VLOOKUP("Early Yield",Data!$A$1249:$AG$1283,23,FALSE)</f>
        <v>0</v>
      </c>
      <c r="AD9" s="1847" t="str">
        <f>VLOOKUP("Offset",Data!$A$1249:$AG$1283,23,FALSE)</f>
        <v>BegGRN</v>
      </c>
      <c r="AE9" s="2071" t="str">
        <f>IF(VLOOKUP("Ret Hold",Data!$A$1249:$AG$1283,23,FALSE)= "On", "X", "-")</f>
        <v>-</v>
      </c>
      <c r="AF9" s="2071" t="str">
        <f>IF(VLOOKUP("Float",Data!$A$1249:$AG$1283,23,FALSE)= "On", "X", "-")</f>
        <v>-</v>
      </c>
      <c r="AG9" s="1824" t="str">
        <f>IF(VLOOKUP("Min Veh Perm",Data!$A$1249:$AG$1283,23,FALSE)= "ON", "X", "-")</f>
        <v>-</v>
      </c>
      <c r="AH9" s="1824" t="str">
        <f>IF(VLOOKUP("Min Ped Perm",Data!$A$1249:$AG$1283,23,FALSE)= "ON", "X", "-")</f>
        <v>-</v>
      </c>
      <c r="AI9" s="2072" t="str">
        <f>VLOOKUP("MI",Data!$A$1249:$AG$1283,23,FALSE)</f>
        <v>OFF</v>
      </c>
    </row>
    <row r="10" spans="1:35">
      <c r="A10" s="568" t="s">
        <v>223</v>
      </c>
      <c r="B10" s="1951" t="str">
        <f>VLOOKUP("Closed Loop Active",Data!$A:$B,2,FALSE)</f>
        <v>OFF</v>
      </c>
      <c r="C10" s="1952"/>
      <c r="D10" s="1998"/>
      <c r="E10" s="2063"/>
      <c r="F10" s="2066"/>
      <c r="G10" s="2066"/>
      <c r="H10" s="2069"/>
      <c r="I10" s="1998"/>
      <c r="J10" s="1103" t="s">
        <v>646</v>
      </c>
      <c r="K10" s="1091" t="str">
        <f>IF(VLOOKUP("Coord Phase",Data!$A$2513:$K$2518,2,FALSE)="On", "X", " ")</f>
        <v xml:space="preserve"> </v>
      </c>
      <c r="L10" s="1061" t="str">
        <f>IF(VLOOKUP("Coord Phase",Data!$A$2513:$K$2518,3,FALSE)="On", "X", " ")</f>
        <v xml:space="preserve"> </v>
      </c>
      <c r="M10" s="1061" t="str">
        <f>IF(VLOOKUP("Coord Phase",Data!$A$2513:$K$2518,4,FALSE)="On", "X", " ")</f>
        <v xml:space="preserve"> </v>
      </c>
      <c r="N10" s="1061" t="str">
        <f>IF(VLOOKUP("Coord Phase",Data!$A$2513:$K$2518,5,FALSE)="On", "X", " ")</f>
        <v xml:space="preserve"> </v>
      </c>
      <c r="O10" s="1061" t="str">
        <f>IF(VLOOKUP("Coord Phase",Data!$A$2513:$K$2518,6,FALSE)="On", "X", " ")</f>
        <v xml:space="preserve"> </v>
      </c>
      <c r="P10" s="1061" t="str">
        <f>IF(VLOOKUP("Coord Phase",Data!$A$2513:$K$2518,7,FALSE)="On", "X", " ")</f>
        <v xml:space="preserve"> </v>
      </c>
      <c r="Q10" s="1061" t="str">
        <f>IF(VLOOKUP("Coord Phase",Data!$A$2513:$K$2518,8,FALSE)="On", "X", " ")</f>
        <v xml:space="preserve"> </v>
      </c>
      <c r="R10" s="1061" t="str">
        <f>IF(VLOOKUP("Coord Phase",Data!$A$2513:$K$2518,9,FALSE)="On", "X", " ")</f>
        <v xml:space="preserve"> </v>
      </c>
      <c r="S10" s="1061" t="str">
        <f>IF(VLOOKUP("Coord Phase",Data!$A$2513:$K$2518,10,FALSE)="On", "X", " ")</f>
        <v xml:space="preserve"> </v>
      </c>
      <c r="T10" s="1078" t="str">
        <f>IF(VLOOKUP("Coord Phase",Data!$A$2513:$K$2518,11,FALSE)="On", "X", " ")</f>
        <v xml:space="preserve"> </v>
      </c>
      <c r="U10" s="1998"/>
      <c r="V10" s="2035"/>
      <c r="W10" s="1825"/>
      <c r="X10" s="2042"/>
      <c r="Y10" s="2060"/>
      <c r="Z10" s="2030"/>
      <c r="AA10" s="2030"/>
      <c r="AB10" s="2027"/>
      <c r="AC10" s="2035"/>
      <c r="AD10" s="1848"/>
      <c r="AE10" s="2030"/>
      <c r="AF10" s="2030"/>
      <c r="AG10" s="1825"/>
      <c r="AH10" s="1825"/>
      <c r="AI10" s="2027"/>
    </row>
    <row r="11" spans="1:35" ht="13.8" thickBot="1">
      <c r="A11" s="568" t="s">
        <v>13</v>
      </c>
      <c r="B11" s="1951" t="str">
        <f>VLOOKUP("External",Data!$A:$B,2,FALSE)</f>
        <v>OFF</v>
      </c>
      <c r="C11" s="1952"/>
      <c r="D11" s="2025"/>
      <c r="E11" s="2064"/>
      <c r="F11" s="2067"/>
      <c r="G11" s="2067"/>
      <c r="H11" s="2070"/>
      <c r="I11" s="2025"/>
      <c r="J11" s="1104" t="s">
        <v>53</v>
      </c>
      <c r="K11" s="1092" t="str">
        <f>VLOOKUP("Mode",Data!$A$2513:$K$2518,2,FALSE)</f>
        <v>NON</v>
      </c>
      <c r="L11" s="1063" t="str">
        <f>VLOOKUP("Mode",Data!$A$2513:$K$2518,3,FALSE)</f>
        <v>NON</v>
      </c>
      <c r="M11" s="1063" t="str">
        <f>VLOOKUP("Mode",Data!$A$2513:$K$2518,4,FALSE)</f>
        <v>NON</v>
      </c>
      <c r="N11" s="1063" t="str">
        <f>VLOOKUP("Mode",Data!$A$2513:$K$2518,5,FALSE)</f>
        <v>NON</v>
      </c>
      <c r="O11" s="1063" t="str">
        <f>VLOOKUP("Mode",Data!$A$2513:$K$2518,6,FALSE)</f>
        <v>NON</v>
      </c>
      <c r="P11" s="1063" t="str">
        <f>VLOOKUP("Mode",Data!$A$2513:$K$2518,7,FALSE)</f>
        <v>NON</v>
      </c>
      <c r="Q11" s="1063" t="str">
        <f>VLOOKUP("Mode",Data!$A$2513:$K$2518,8,FALSE)</f>
        <v>NON</v>
      </c>
      <c r="R11" s="1063" t="str">
        <f>VLOOKUP("Mode",Data!$A$2513:$K$2518,9,FALSE)</f>
        <v>NON</v>
      </c>
      <c r="S11" s="1063" t="str">
        <f>VLOOKUP("Mode",Data!$A$2513:$K$2518,10,FALSE)</f>
        <v>NON</v>
      </c>
      <c r="T11" s="1079" t="str">
        <f>VLOOKUP("Mode",Data!$A$2513:$K$2518,11,FALSE)</f>
        <v>NON</v>
      </c>
      <c r="U11" s="2025"/>
      <c r="V11" s="2040"/>
      <c r="W11" s="1826"/>
      <c r="X11" s="2043"/>
      <c r="Y11" s="2061"/>
      <c r="Z11" s="2031"/>
      <c r="AA11" s="2031"/>
      <c r="AB11" s="2033"/>
      <c r="AC11" s="2036"/>
      <c r="AD11" s="1913"/>
      <c r="AE11" s="2038"/>
      <c r="AF11" s="2038"/>
      <c r="AG11" s="1895"/>
      <c r="AH11" s="1895"/>
      <c r="AI11" s="2028"/>
    </row>
    <row r="12" spans="1:35">
      <c r="A12" s="568" t="s">
        <v>713</v>
      </c>
      <c r="B12" s="1951" t="str">
        <f>VLOOKUP("Latch Sec Foff",Data!$A:$B,2,FALSE)</f>
        <v>OFF</v>
      </c>
      <c r="C12" s="1952"/>
      <c r="D12" s="2009">
        <v>23</v>
      </c>
      <c r="E12" s="2010">
        <f>VLOOKUP("Cycle Time",Data!$A:$Y,24,FALSE)</f>
        <v>0</v>
      </c>
      <c r="F12" s="2013">
        <f>VLOOKUP("Offset Time",Data!$A:$Y,24,FALSE)</f>
        <v>0</v>
      </c>
      <c r="G12" s="2013">
        <f>VLOOKUP("Split Number",Data!$A:$Y,24,FALSE)</f>
        <v>0</v>
      </c>
      <c r="H12" s="2016">
        <f>VLOOKUP("Seq Number",Data!$A:$Y,24,FALSE)</f>
        <v>1</v>
      </c>
      <c r="I12" s="2009">
        <v>23</v>
      </c>
      <c r="J12" s="1105" t="s">
        <v>216</v>
      </c>
      <c r="K12" s="1093">
        <f>VLOOKUP("Time",Data!$A$2519:$K$2524,2,FALSE)</f>
        <v>0</v>
      </c>
      <c r="L12" s="1069">
        <f>VLOOKUP("Time",Data!$A$2519:$K$2524,3,FALSE)</f>
        <v>0</v>
      </c>
      <c r="M12" s="1069">
        <f>VLOOKUP("Time",Data!$A$2519:$K$2524,4,FALSE)</f>
        <v>0</v>
      </c>
      <c r="N12" s="1069">
        <f>VLOOKUP("Time",Data!$A$2519:$K$2524,5,FALSE)</f>
        <v>0</v>
      </c>
      <c r="O12" s="1069">
        <f>VLOOKUP("Time",Data!$A$2519:$K$2524,6,FALSE)</f>
        <v>0</v>
      </c>
      <c r="P12" s="1069">
        <f>VLOOKUP("Time",Data!$A$2519:$K$2524,7,FALSE)</f>
        <v>0</v>
      </c>
      <c r="Q12" s="1069">
        <f>VLOOKUP("Time",Data!$A$2519:$K$2524,8,FALSE)</f>
        <v>0</v>
      </c>
      <c r="R12" s="1069">
        <f>VLOOKUP("Time",Data!$A$2519:$K$2524,9,FALSE)</f>
        <v>0</v>
      </c>
      <c r="S12" s="1069">
        <f>VLOOKUP("Time",Data!$A$2519:$K$2524,10,FALSE)</f>
        <v>0</v>
      </c>
      <c r="T12" s="1080">
        <f>VLOOKUP("Time",Data!$A$2519:$K$2524,11,FALSE)</f>
        <v>0</v>
      </c>
      <c r="U12" s="2009">
        <v>23</v>
      </c>
      <c r="V12" s="2049">
        <f>VLOOKUP("Short",Data!$A$1249:$AG$1283,24,FALSE)</f>
        <v>0</v>
      </c>
      <c r="W12" s="2051">
        <f>VLOOKUP("Long",Data!$A$1249:$AG$1283,24,FALSE)</f>
        <v>17</v>
      </c>
      <c r="X12" s="2053">
        <f>VLOOKUP("Dwell",Data!$A$1249:$AG$1283,24,FALSE)</f>
        <v>0</v>
      </c>
      <c r="Y12" s="2055">
        <f>VLOOKUP("No Short P 1",Data!$A$1249:$AG$1283,24,FALSE)</f>
        <v>0</v>
      </c>
      <c r="Z12" s="2057">
        <f>VLOOKUP("No Short P 2",Data!$A$1249:$AG$1283,24,FALSE)</f>
        <v>0</v>
      </c>
      <c r="AA12" s="2057">
        <f>VLOOKUP("No Short P 3",Data!$A$1249:$AG$1283,24,FALSE)</f>
        <v>0</v>
      </c>
      <c r="AB12" s="2047">
        <f>VLOOKUP("No Short P 4",Data!$A$1249:$AG$1283,24,FALSE)</f>
        <v>0</v>
      </c>
      <c r="AC12" s="2019">
        <f>VLOOKUP("Early Yield",Data!$A$1249:$AG$1283,24,FALSE)</f>
        <v>0</v>
      </c>
      <c r="AD12" s="2022" t="str">
        <f>VLOOKUP("Offset",Data!$A$1249:$AG$1283,24,FALSE)</f>
        <v>BegGRN</v>
      </c>
      <c r="AE12" s="1982" t="str">
        <f>IF(VLOOKUP("Ret Hold",Data!$A$1249:$AG$1283,24,FALSE)= "On", "X", "-")</f>
        <v>-</v>
      </c>
      <c r="AF12" s="1982" t="str">
        <f>IF(VLOOKUP("Float",Data!$A$1249:$AG$1283,24,FALSE)= "On", "X", "-")</f>
        <v>-</v>
      </c>
      <c r="AG12" s="1985" t="str">
        <f>IF(VLOOKUP("Min Veh Perm",Data!$A$1249:$AG$1283,24,FALSE)= "ON", "X", "-")</f>
        <v>-</v>
      </c>
      <c r="AH12" s="1985" t="str">
        <f>IF(VLOOKUP("Min Ped Perm",Data!$A$1249:$AG$1283,24,FALSE)= "ON", "X", "-")</f>
        <v>-</v>
      </c>
      <c r="AI12" s="1994" t="str">
        <f>VLOOKUP("MI",Data!$A$1249:$AG$1283,24,FALSE)</f>
        <v>OFF</v>
      </c>
    </row>
    <row r="13" spans="1:35">
      <c r="A13" s="568" t="s">
        <v>224</v>
      </c>
      <c r="B13" s="1951" t="str">
        <f>VLOOKUP("Stop In Walk",Data!$A:$B,2,FALSE)</f>
        <v>OFF</v>
      </c>
      <c r="C13" s="1952"/>
      <c r="D13" s="1998"/>
      <c r="E13" s="2011"/>
      <c r="F13" s="2014"/>
      <c r="G13" s="2014"/>
      <c r="H13" s="2017"/>
      <c r="I13" s="1998"/>
      <c r="J13" s="1103" t="s">
        <v>646</v>
      </c>
      <c r="K13" s="1094" t="str">
        <f>IF(VLOOKUP("Coord Phase",Data!$A$2519:$K$2524,2,FALSE)="On", "X", " ")</f>
        <v xml:space="preserve"> </v>
      </c>
      <c r="L13" s="1070" t="str">
        <f>IF(VLOOKUP("Coord Phase",Data!$A$2519:$K$2524,3,FALSE)="On", "X", " ")</f>
        <v xml:space="preserve"> </v>
      </c>
      <c r="M13" s="1070" t="str">
        <f>IF(VLOOKUP("Coord Phase",Data!$A$2519:$K$2524,4,FALSE)="On", "X", " ")</f>
        <v xml:space="preserve"> </v>
      </c>
      <c r="N13" s="1070" t="str">
        <f>IF(VLOOKUP("Coord Phase",Data!$A$2519:$K$2524,5,FALSE)="On", "X", " ")</f>
        <v xml:space="preserve"> </v>
      </c>
      <c r="O13" s="1070" t="str">
        <f>IF(VLOOKUP("Coord Phase",Data!$A$2519:$K$2524,6,FALSE)="On", "X", " ")</f>
        <v xml:space="preserve"> </v>
      </c>
      <c r="P13" s="1070" t="str">
        <f>IF(VLOOKUP("Coord Phase",Data!$A$2519:$K$2524,7,FALSE)="On", "X", " ")</f>
        <v xml:space="preserve"> </v>
      </c>
      <c r="Q13" s="1070" t="str">
        <f>IF(VLOOKUP("Coord Phase",Data!$A$2519:$K$2524,8,FALSE)="On", "X", " ")</f>
        <v xml:space="preserve"> </v>
      </c>
      <c r="R13" s="1070" t="str">
        <f>IF(VLOOKUP("Coord Phase",Data!$A$2519:$K$2524,9,FALSE)="On", "X", " ")</f>
        <v xml:space="preserve"> </v>
      </c>
      <c r="S13" s="1070" t="str">
        <f>IF(VLOOKUP("Coord Phase",Data!$A$2519:$K$2524,10,FALSE)="On", "X", " ")</f>
        <v xml:space="preserve"> </v>
      </c>
      <c r="T13" s="1081" t="str">
        <f>IF(VLOOKUP("Coord Phase",Data!$A$2519:$K$2524,11,FALSE)="On", "X", " ")</f>
        <v xml:space="preserve"> </v>
      </c>
      <c r="U13" s="1998"/>
      <c r="V13" s="2020"/>
      <c r="W13" s="1986"/>
      <c r="X13" s="1989"/>
      <c r="Y13" s="1992"/>
      <c r="Z13" s="1983"/>
      <c r="AA13" s="1983"/>
      <c r="AB13" s="1995"/>
      <c r="AC13" s="2020"/>
      <c r="AD13" s="2023"/>
      <c r="AE13" s="1983"/>
      <c r="AF13" s="1983"/>
      <c r="AG13" s="1986"/>
      <c r="AH13" s="1986"/>
      <c r="AI13" s="1995"/>
    </row>
    <row r="14" spans="1:35" ht="13.8" thickBot="1">
      <c r="A14" s="568" t="s">
        <v>226</v>
      </c>
      <c r="B14" s="1951" t="str">
        <f>VLOOKUP("Walk Recycle",Data!$A:$B,2,FALSE)</f>
        <v>P1256_INH</v>
      </c>
      <c r="C14" s="1952"/>
      <c r="D14" s="1999"/>
      <c r="E14" s="2012"/>
      <c r="F14" s="2015"/>
      <c r="G14" s="2015"/>
      <c r="H14" s="2018"/>
      <c r="I14" s="1999"/>
      <c r="J14" s="1106" t="s">
        <v>53</v>
      </c>
      <c r="K14" s="1095" t="str">
        <f>VLOOKUP("Mode",Data!$A$2519:$K$2524,2,FALSE)</f>
        <v>NON</v>
      </c>
      <c r="L14" s="1071" t="str">
        <f>VLOOKUP("Mode",Data!$A$2519:$K$2524,3,FALSE)</f>
        <v>NON</v>
      </c>
      <c r="M14" s="1071" t="str">
        <f>VLOOKUP("Mode",Data!$A$2519:$K$2524,4,FALSE)</f>
        <v>NON</v>
      </c>
      <c r="N14" s="1071" t="str">
        <f>VLOOKUP("Mode",Data!$A$2519:$K$2524,5,FALSE)</f>
        <v>NON</v>
      </c>
      <c r="O14" s="1071" t="str">
        <f>VLOOKUP("Mode",Data!$A$2519:$K$2524,6,FALSE)</f>
        <v>NON</v>
      </c>
      <c r="P14" s="1071" t="str">
        <f>VLOOKUP("Mode",Data!$A$2519:$K$2524,7,FALSE)</f>
        <v>NON</v>
      </c>
      <c r="Q14" s="1071" t="str">
        <f>VLOOKUP("Mode",Data!$A$2519:$K$2524,8,FALSE)</f>
        <v>NON</v>
      </c>
      <c r="R14" s="1071" t="str">
        <f>VLOOKUP("Mode",Data!$A$2519:$K$2524,9,FALSE)</f>
        <v>NON</v>
      </c>
      <c r="S14" s="1071" t="str">
        <f>VLOOKUP("Mode",Data!$A$2519:$K$2524,10,FALSE)</f>
        <v>NON</v>
      </c>
      <c r="T14" s="1082" t="str">
        <f>VLOOKUP("Mode",Data!$A$2519:$K$2524,11,FALSE)</f>
        <v>NON</v>
      </c>
      <c r="U14" s="1999"/>
      <c r="V14" s="2050"/>
      <c r="W14" s="2052"/>
      <c r="X14" s="2054"/>
      <c r="Y14" s="2056"/>
      <c r="Z14" s="2058"/>
      <c r="AA14" s="2058"/>
      <c r="AB14" s="2048"/>
      <c r="AC14" s="2021"/>
      <c r="AD14" s="2024"/>
      <c r="AE14" s="1984"/>
      <c r="AF14" s="1984"/>
      <c r="AG14" s="1987"/>
      <c r="AH14" s="1987"/>
      <c r="AI14" s="1996"/>
    </row>
    <row r="15" spans="1:35">
      <c r="A15" s="568" t="s">
        <v>225</v>
      </c>
      <c r="B15" s="1953" t="str">
        <f>'Ø Olap (10 Phase)'!AQ4</f>
        <v>OFF</v>
      </c>
      <c r="C15" s="1954"/>
      <c r="D15" s="1997">
        <v>24</v>
      </c>
      <c r="E15" s="2062">
        <f>VLOOKUP("Cycle Time",Data!$A:$Y,25,FALSE)</f>
        <v>0</v>
      </c>
      <c r="F15" s="2065">
        <f>VLOOKUP("Offset Time",Data!$A:$Y,25,FALSE)</f>
        <v>0</v>
      </c>
      <c r="G15" s="2065">
        <f>VLOOKUP("Split Number",Data!$A:$Y,25,FALSE)</f>
        <v>0</v>
      </c>
      <c r="H15" s="2068">
        <f>VLOOKUP("Seq Number",Data!$A:$Y,25,FALSE)</f>
        <v>1</v>
      </c>
      <c r="I15" s="1997">
        <v>24</v>
      </c>
      <c r="J15" s="1059" t="s">
        <v>216</v>
      </c>
      <c r="K15" s="1096">
        <f>VLOOKUP("Time",Data!$A$2525:$K$2530,2,FALSE)</f>
        <v>0</v>
      </c>
      <c r="L15" s="1062">
        <f>VLOOKUP("Time",Data!$A$2525:$K$2530,3,FALSE)</f>
        <v>0</v>
      </c>
      <c r="M15" s="1062">
        <f>VLOOKUP("Time",Data!$A$2525:$K$2530,4,FALSE)</f>
        <v>0</v>
      </c>
      <c r="N15" s="1062">
        <f>VLOOKUP("Time",Data!$A$2525:$K$2530,5,FALSE)</f>
        <v>0</v>
      </c>
      <c r="O15" s="1062">
        <f>VLOOKUP("Time",Data!$A$2525:$K$2530,6,FALSE)</f>
        <v>0</v>
      </c>
      <c r="P15" s="1062">
        <f>VLOOKUP("Time",Data!$A$2525:$K$2530,7,FALSE)</f>
        <v>0</v>
      </c>
      <c r="Q15" s="1062">
        <f>VLOOKUP("Time",Data!$A$2525:$K$2530,8,FALSE)</f>
        <v>0</v>
      </c>
      <c r="R15" s="1062">
        <f>VLOOKUP("Time",Data!$A$2525:$K$2530,9,FALSE)</f>
        <v>0</v>
      </c>
      <c r="S15" s="1062">
        <f>VLOOKUP("Time",Data!$A$2525:$K$2530,10,FALSE)</f>
        <v>0</v>
      </c>
      <c r="T15" s="1083">
        <f>VLOOKUP("Time",Data!$A$2525:$K$2530,11,FALSE)</f>
        <v>0</v>
      </c>
      <c r="U15" s="1997">
        <v>24</v>
      </c>
      <c r="V15" s="2039">
        <f>VLOOKUP("Short",Data!$A$1249:$AG$1283,25,FALSE)</f>
        <v>0</v>
      </c>
      <c r="W15" s="1874">
        <f>VLOOKUP("Long",Data!$A$1249:$AG$1283,25,FALSE)</f>
        <v>17</v>
      </c>
      <c r="X15" s="2041">
        <f>VLOOKUP("Dwell",Data!$A$1249:$AG$1283,25,FALSE)</f>
        <v>0</v>
      </c>
      <c r="Y15" s="2059">
        <f>VLOOKUP("No Short P 1",Data!$A$1249:$AG$1283,25,FALSE)</f>
        <v>0</v>
      </c>
      <c r="Z15" s="2029">
        <f>VLOOKUP("No Short P 2",Data!$A$1249:$AG$1283,25,FALSE)</f>
        <v>0</v>
      </c>
      <c r="AA15" s="2029">
        <f>VLOOKUP("No Short P 3",Data!$A$1249:$AG$1283,25,FALSE)</f>
        <v>0</v>
      </c>
      <c r="AB15" s="2032">
        <f>VLOOKUP("No Short P 4",Data!$A$1249:$AG$1283,25,FALSE)</f>
        <v>0</v>
      </c>
      <c r="AC15" s="2034">
        <f>VLOOKUP("Early Yield",Data!$A$1249:$AG$1283,25,FALSE)</f>
        <v>0</v>
      </c>
      <c r="AD15" s="1912" t="str">
        <f>VLOOKUP("Offset",Data!$A$1249:$AG$1283,25,FALSE)</f>
        <v>BegGRN</v>
      </c>
      <c r="AE15" s="2037" t="str">
        <f>IF(VLOOKUP("Ret Hold",Data!$A$1249:$AG$1283,25,FALSE)= "On", "X", "-")</f>
        <v>-</v>
      </c>
      <c r="AF15" s="2037" t="str">
        <f>IF(VLOOKUP("Float",Data!$A$1249:$AG$1283,25,FALSE)= "On", "X", "-")</f>
        <v>-</v>
      </c>
      <c r="AG15" s="1894" t="str">
        <f>IF(VLOOKUP("Min Veh Perm",Data!$A$1249:$AG$1283,25,FALSE)= "ON", "X", "-")</f>
        <v>-</v>
      </c>
      <c r="AH15" s="1894" t="str">
        <f>IF(VLOOKUP("Min Ped Perm",Data!$A$1249:$AG$1283,25,FALSE)= "ON", "X", "-")</f>
        <v>-</v>
      </c>
      <c r="AI15" s="2026" t="str">
        <f>VLOOKUP("MI",Data!$A$1249:$AG$1283,25,FALSE)</f>
        <v>OFF</v>
      </c>
    </row>
    <row r="16" spans="1:35">
      <c r="A16" s="569" t="s">
        <v>717</v>
      </c>
      <c r="B16" s="1953" t="str">
        <f>VLOOKUP("Coord Easy Float",Data!$A:$B,2,FALSE)</f>
        <v>OFF</v>
      </c>
      <c r="C16" s="1954"/>
      <c r="D16" s="1998"/>
      <c r="E16" s="2063"/>
      <c r="F16" s="2066"/>
      <c r="G16" s="2066"/>
      <c r="H16" s="2069"/>
      <c r="I16" s="1998"/>
      <c r="J16" s="1103" t="s">
        <v>646</v>
      </c>
      <c r="K16" s="1091" t="str">
        <f>IF(VLOOKUP("Coord Phase",Data!$A$2525:$K$2530,2,FALSE)="On", "X", " ")</f>
        <v xml:space="preserve"> </v>
      </c>
      <c r="L16" s="1061" t="str">
        <f>IF(VLOOKUP("Coord Phase",Data!$A$2525:$K$2530,3,FALSE)="On", "X", " ")</f>
        <v xml:space="preserve"> </v>
      </c>
      <c r="M16" s="1061" t="str">
        <f>IF(VLOOKUP("Coord Phase",Data!$A$2525:$K$2530,4,FALSE)="On", "X", " ")</f>
        <v xml:space="preserve"> </v>
      </c>
      <c r="N16" s="1061" t="str">
        <f>IF(VLOOKUP("Coord Phase",Data!$A$2525:$K$2530,5,FALSE)="On", "X", " ")</f>
        <v xml:space="preserve"> </v>
      </c>
      <c r="O16" s="1061" t="str">
        <f>IF(VLOOKUP("Coord Phase",Data!$A$2525:$K$2530,6,FALSE)="On", "X", " ")</f>
        <v xml:space="preserve"> </v>
      </c>
      <c r="P16" s="1061" t="str">
        <f>IF(VLOOKUP("Coord Phase",Data!$A$2525:$K$2530,7,FALSE)="On", "X", " ")</f>
        <v xml:space="preserve"> </v>
      </c>
      <c r="Q16" s="1061" t="str">
        <f>IF(VLOOKUP("Coord Phase",Data!$A$2525:$K$2530,8,FALSE)="On", "X", " ")</f>
        <v xml:space="preserve"> </v>
      </c>
      <c r="R16" s="1061" t="str">
        <f>IF(VLOOKUP("Coord Phase",Data!$A$2525:$K$2530,9,FALSE)="On", "X", " ")</f>
        <v xml:space="preserve"> </v>
      </c>
      <c r="S16" s="1061" t="str">
        <f>IF(VLOOKUP("Coord Phase",Data!$A$2525:$K$2530,10,FALSE)="On", "X", " ")</f>
        <v xml:space="preserve"> </v>
      </c>
      <c r="T16" s="1078" t="str">
        <f>IF(VLOOKUP("Coord Phase",Data!$A$2525:$K$2530,11,FALSE)="On", "X", " ")</f>
        <v xml:space="preserve"> </v>
      </c>
      <c r="U16" s="1998"/>
      <c r="V16" s="2035"/>
      <c r="W16" s="1825"/>
      <c r="X16" s="2042"/>
      <c r="Y16" s="2060"/>
      <c r="Z16" s="2030"/>
      <c r="AA16" s="2030"/>
      <c r="AB16" s="2027"/>
      <c r="AC16" s="2035"/>
      <c r="AD16" s="1848"/>
      <c r="AE16" s="2030"/>
      <c r="AF16" s="2030"/>
      <c r="AG16" s="1825"/>
      <c r="AH16" s="1825"/>
      <c r="AI16" s="2027"/>
    </row>
    <row r="17" spans="1:35" ht="13.8" thickBot="1">
      <c r="A17" s="570" t="s">
        <v>12</v>
      </c>
      <c r="B17" s="1951" t="str">
        <f>VLOOKUP("Auto Err Reset",Data!$A:$B,2,FALSE)</f>
        <v>ON</v>
      </c>
      <c r="C17" s="1952"/>
      <c r="D17" s="2025"/>
      <c r="E17" s="2064"/>
      <c r="F17" s="2067"/>
      <c r="G17" s="2067"/>
      <c r="H17" s="2070"/>
      <c r="I17" s="2025"/>
      <c r="J17" s="1104" t="s">
        <v>53</v>
      </c>
      <c r="K17" s="1092" t="str">
        <f>VLOOKUP("Mode",Data!$A$2525:$K$2530,2,FALSE)</f>
        <v>NON</v>
      </c>
      <c r="L17" s="1063" t="str">
        <f>VLOOKUP("Mode",Data!$A$2525:$K$2530,3,FALSE)</f>
        <v>NON</v>
      </c>
      <c r="M17" s="1063" t="str">
        <f>VLOOKUP("Mode",Data!$A$2525:$K$2530,4,FALSE)</f>
        <v>NON</v>
      </c>
      <c r="N17" s="1063" t="str">
        <f>VLOOKUP("Mode",Data!$A$2525:$K$2530,5,FALSE)</f>
        <v>NON</v>
      </c>
      <c r="O17" s="1063" t="str">
        <f>VLOOKUP("Mode",Data!$A$2525:$K$2530,6,FALSE)</f>
        <v>NON</v>
      </c>
      <c r="P17" s="1063" t="str">
        <f>VLOOKUP("Mode",Data!$A$2525:$K$2530,7,FALSE)</f>
        <v>NON</v>
      </c>
      <c r="Q17" s="1063" t="str">
        <f>VLOOKUP("Mode",Data!$A$2525:$K$2530,8,FALSE)</f>
        <v>NON</v>
      </c>
      <c r="R17" s="1063" t="str">
        <f>VLOOKUP("Mode",Data!$A$2525:$K$2530,9,FALSE)</f>
        <v>NON</v>
      </c>
      <c r="S17" s="1063" t="str">
        <f>VLOOKUP("Mode",Data!$A$2525:$K$2530,10,FALSE)</f>
        <v>NON</v>
      </c>
      <c r="T17" s="1079" t="str">
        <f>VLOOKUP("Mode",Data!$A$2525:$K$2530,11,FALSE)</f>
        <v>NON</v>
      </c>
      <c r="U17" s="2025"/>
      <c r="V17" s="2040"/>
      <c r="W17" s="1826"/>
      <c r="X17" s="2043"/>
      <c r="Y17" s="2061"/>
      <c r="Z17" s="2031"/>
      <c r="AA17" s="2031"/>
      <c r="AB17" s="2033"/>
      <c r="AC17" s="2036"/>
      <c r="AD17" s="1913"/>
      <c r="AE17" s="2038"/>
      <c r="AF17" s="2038"/>
      <c r="AG17" s="1895"/>
      <c r="AH17" s="1895"/>
      <c r="AI17" s="2028"/>
    </row>
    <row r="18" spans="1:35">
      <c r="A18" s="568" t="s">
        <v>660</v>
      </c>
      <c r="B18" s="665" t="str">
        <f>VLOOKUP("Coord NTCIP Yield Sign",Data!$A:$B,2,FALSE)</f>
        <v>+</v>
      </c>
      <c r="C18" s="1013" t="str">
        <f>VLOOKUP("NTCIP YIELD",Data!$A:$B,2,FALSE)</f>
        <v>0</v>
      </c>
      <c r="D18" s="2009">
        <v>25</v>
      </c>
      <c r="E18" s="2010">
        <f>VLOOKUP("Cycle Time",Data!$A:$AY,26,FALSE)</f>
        <v>0</v>
      </c>
      <c r="F18" s="2013">
        <f>VLOOKUP("Offset Time",Data!$A:$AY,26,FALSE)</f>
        <v>0</v>
      </c>
      <c r="G18" s="2013">
        <f>VLOOKUP("Split Number",Data!$A:$AY,26,FALSE)</f>
        <v>0</v>
      </c>
      <c r="H18" s="2016">
        <f>VLOOKUP("Seq Number",Data!$A:$AY,26,FALSE)</f>
        <v>1</v>
      </c>
      <c r="I18" s="2009">
        <v>25</v>
      </c>
      <c r="J18" s="1105" t="s">
        <v>216</v>
      </c>
      <c r="K18" s="1093">
        <f>VLOOKUP("Time",Data!$A$2531:$K$2536,2,FALSE)</f>
        <v>0</v>
      </c>
      <c r="L18" s="1069">
        <f>VLOOKUP("Time",Data!$A$2531:$K$2536,3,FALSE)</f>
        <v>0</v>
      </c>
      <c r="M18" s="1069">
        <f>VLOOKUP("Time",Data!$A$2531:$K$2536,4,FALSE)</f>
        <v>0</v>
      </c>
      <c r="N18" s="1069">
        <f>VLOOKUP("Time",Data!$A$2531:$K$2536,5,FALSE)</f>
        <v>0</v>
      </c>
      <c r="O18" s="1069">
        <f>VLOOKUP("Time",Data!$A$2531:$K$2536,6,FALSE)</f>
        <v>0</v>
      </c>
      <c r="P18" s="1069">
        <f>VLOOKUP("Time",Data!$A$2531:$K$2536,7,FALSE)</f>
        <v>0</v>
      </c>
      <c r="Q18" s="1069">
        <f>VLOOKUP("Time",Data!$A$2531:$K$2536,8,FALSE)</f>
        <v>0</v>
      </c>
      <c r="R18" s="1069">
        <f>VLOOKUP("Time",Data!$A$2531:$K$2536,9,FALSE)</f>
        <v>0</v>
      </c>
      <c r="S18" s="1069">
        <f>VLOOKUP("Time",Data!$A$2531:$K$2536,10,FALSE)</f>
        <v>0</v>
      </c>
      <c r="T18" s="1080">
        <f>VLOOKUP("Time",Data!$A$2531:$K$2536,11,FALSE)</f>
        <v>0</v>
      </c>
      <c r="U18" s="2009">
        <v>25</v>
      </c>
      <c r="V18" s="2049">
        <f>VLOOKUP("Short",Data!$A$1249:$AG$1283,26,FALSE)</f>
        <v>0</v>
      </c>
      <c r="W18" s="2051">
        <f>VLOOKUP("Long",Data!$A$1249:$AG$1283,26,FALSE)</f>
        <v>17</v>
      </c>
      <c r="X18" s="2053">
        <f>VLOOKUP("Dwell",Data!$A$1249:$AG$1283,26,FALSE)</f>
        <v>0</v>
      </c>
      <c r="Y18" s="2055">
        <f>VLOOKUP("No Short P 1",Data!$A$1249:$AG$1283,26,FALSE)</f>
        <v>0</v>
      </c>
      <c r="Z18" s="2057">
        <f>VLOOKUP("No Short P 2",Data!$A$1249:$AG$1283,26,FALSE)</f>
        <v>0</v>
      </c>
      <c r="AA18" s="2057">
        <f>VLOOKUP("No Short P 3",Data!$A$1249:$AG$1283,26,FALSE)</f>
        <v>0</v>
      </c>
      <c r="AB18" s="2047">
        <f>VLOOKUP("No Short P 4",Data!$A$1249:$AG$1283,26,FALSE)</f>
        <v>0</v>
      </c>
      <c r="AC18" s="2019">
        <f>VLOOKUP("Early Yield",Data!$A$1249:$AG$1283,26,FALSE)</f>
        <v>0</v>
      </c>
      <c r="AD18" s="2022" t="str">
        <f>VLOOKUP("Offset",Data!$A$1249:$AG$1283,26,FALSE)</f>
        <v>BegGRN</v>
      </c>
      <c r="AE18" s="1982" t="str">
        <f>IF(VLOOKUP("Ret Hold",Data!$A$1249:$AG$1283,26,FALSE)= "On", "X", "-")</f>
        <v>-</v>
      </c>
      <c r="AF18" s="1982" t="str">
        <f>IF(VLOOKUP("Float",Data!$A$1249:$AG$1283,26,FALSE)= "On", "X", "-")</f>
        <v>-</v>
      </c>
      <c r="AG18" s="1985" t="str">
        <f>IF(VLOOKUP("Min Veh Perm",Data!$A$1249:$AG$1283,26,FALSE)= "ON", "X", "-")</f>
        <v>-</v>
      </c>
      <c r="AH18" s="1985" t="str">
        <f>IF(VLOOKUP("Min Ped Perm",Data!$A$1249:$AG$1283,26,FALSE)= "ON", "X", "-")</f>
        <v>-</v>
      </c>
      <c r="AI18" s="1994" t="str">
        <f>VLOOKUP("MI",Data!$A$1249:$AG$1283,26,FALSE)</f>
        <v>OFF</v>
      </c>
    </row>
    <row r="19" spans="1:35">
      <c r="A19" s="1964" t="s">
        <v>712</v>
      </c>
      <c r="B19" s="1965"/>
      <c r="C19" s="1966"/>
      <c r="D19" s="1998"/>
      <c r="E19" s="2011"/>
      <c r="F19" s="2014"/>
      <c r="G19" s="2014"/>
      <c r="H19" s="2017"/>
      <c r="I19" s="1998"/>
      <c r="J19" s="1103" t="s">
        <v>646</v>
      </c>
      <c r="K19" s="1094" t="str">
        <f>IF(VLOOKUP("Coord Phase",Data!$A$2531:$K$2536,2,FALSE)="On", "X", " ")</f>
        <v xml:space="preserve"> </v>
      </c>
      <c r="L19" s="1070" t="str">
        <f>IF(VLOOKUP("Coord Phase",Data!$A$2531:$K$2536,3,FALSE)="On", "X", " ")</f>
        <v xml:space="preserve"> </v>
      </c>
      <c r="M19" s="1070" t="str">
        <f>IF(VLOOKUP("Coord Phase",Data!$A$2531:$K$2536,4,FALSE)="On", "X", " ")</f>
        <v xml:space="preserve"> </v>
      </c>
      <c r="N19" s="1070" t="str">
        <f>IF(VLOOKUP("Coord Phase",Data!$A$2531:$K$2536,5,FALSE)="On", "X", " ")</f>
        <v xml:space="preserve"> </v>
      </c>
      <c r="O19" s="1070" t="str">
        <f>IF(VLOOKUP("Coord Phase",Data!$A$2531:$K$2536,6,FALSE)="On", "X", " ")</f>
        <v xml:space="preserve"> </v>
      </c>
      <c r="P19" s="1070" t="str">
        <f>IF(VLOOKUP("Coord Phase",Data!$A$2531:$K$2536,7,FALSE)="On", "X", " ")</f>
        <v xml:space="preserve"> </v>
      </c>
      <c r="Q19" s="1070" t="str">
        <f>IF(VLOOKUP("Coord Phase",Data!$A$2531:$K$2536,8,FALSE)="On", "X", " ")</f>
        <v xml:space="preserve"> </v>
      </c>
      <c r="R19" s="1070" t="str">
        <f>IF(VLOOKUP("Coord Phase",Data!$A$2531:$K$2536,9,FALSE)="On", "X", " ")</f>
        <v xml:space="preserve"> </v>
      </c>
      <c r="S19" s="1070" t="str">
        <f>IF(VLOOKUP("Coord Phase",Data!$A$2531:$K$2536,10,FALSE)="On", "X", " ")</f>
        <v xml:space="preserve"> </v>
      </c>
      <c r="T19" s="1081" t="str">
        <f>IF(VLOOKUP("Coord Phase",Data!$A$2531:$K$2536,11,FALSE)="On", "X", " ")</f>
        <v xml:space="preserve"> </v>
      </c>
      <c r="U19" s="1998"/>
      <c r="V19" s="2020"/>
      <c r="W19" s="1986"/>
      <c r="X19" s="1989"/>
      <c r="Y19" s="1992"/>
      <c r="Z19" s="1983"/>
      <c r="AA19" s="1983"/>
      <c r="AB19" s="1995"/>
      <c r="AC19" s="2020"/>
      <c r="AD19" s="2023"/>
      <c r="AE19" s="1983"/>
      <c r="AF19" s="1983"/>
      <c r="AG19" s="1986"/>
      <c r="AH19" s="1986"/>
      <c r="AI19" s="1995"/>
    </row>
    <row r="20" spans="1:35" ht="14.25" customHeight="1" thickBot="1">
      <c r="A20" s="568" t="s">
        <v>227</v>
      </c>
      <c r="B20" s="1951" t="str">
        <f>VLOOKUP("Leave Walk Before",Data!$A:$B,2,FALSE)</f>
        <v>TIMED</v>
      </c>
      <c r="C20" s="1952"/>
      <c r="D20" s="1999"/>
      <c r="E20" s="2012"/>
      <c r="F20" s="2015"/>
      <c r="G20" s="2015"/>
      <c r="H20" s="2018"/>
      <c r="I20" s="1999"/>
      <c r="J20" s="1106" t="s">
        <v>53</v>
      </c>
      <c r="K20" s="1095" t="str">
        <f>VLOOKUP("Mode",Data!$A$2531:$K$2536,2,FALSE)</f>
        <v>NON</v>
      </c>
      <c r="L20" s="1071" t="str">
        <f>VLOOKUP("Mode",Data!$A$2531:$K$2536,3,FALSE)</f>
        <v>NON</v>
      </c>
      <c r="M20" s="1071" t="str">
        <f>VLOOKUP("Mode",Data!$A$2531:$K$2536,4,FALSE)</f>
        <v>NON</v>
      </c>
      <c r="N20" s="1071" t="str">
        <f>VLOOKUP("Mode",Data!$A$2531:$K$2536,5,FALSE)</f>
        <v>NON</v>
      </c>
      <c r="O20" s="1071" t="str">
        <f>VLOOKUP("Mode",Data!$A$2531:$K$2536,6,FALSE)</f>
        <v>NON</v>
      </c>
      <c r="P20" s="1071" t="str">
        <f>VLOOKUP("Mode",Data!$A$2531:$K$2536,7,FALSE)</f>
        <v>NON</v>
      </c>
      <c r="Q20" s="1071" t="str">
        <f>VLOOKUP("Mode",Data!$A$2531:$K$2536,8,FALSE)</f>
        <v>NON</v>
      </c>
      <c r="R20" s="1071" t="str">
        <f>VLOOKUP("Mode",Data!$A$2531:$K$2536,9,FALSE)</f>
        <v>NON</v>
      </c>
      <c r="S20" s="1071" t="str">
        <f>VLOOKUP("Mode",Data!$A$2531:$K$2536,10,FALSE)</f>
        <v>NON</v>
      </c>
      <c r="T20" s="1082" t="str">
        <f>VLOOKUP("Mode",Data!$A$2531:$K$2536,11,FALSE)</f>
        <v>NON</v>
      </c>
      <c r="U20" s="1999"/>
      <c r="V20" s="2050"/>
      <c r="W20" s="2052"/>
      <c r="X20" s="2054"/>
      <c r="Y20" s="2056"/>
      <c r="Z20" s="2058"/>
      <c r="AA20" s="2058"/>
      <c r="AB20" s="2048"/>
      <c r="AC20" s="2021"/>
      <c r="AD20" s="2024"/>
      <c r="AE20" s="1984"/>
      <c r="AF20" s="1984"/>
      <c r="AG20" s="1987"/>
      <c r="AH20" s="1987"/>
      <c r="AI20" s="1996"/>
    </row>
    <row r="21" spans="1:35" ht="13.8" thickBot="1">
      <c r="A21" s="571" t="s">
        <v>228</v>
      </c>
      <c r="B21" s="1955" t="str">
        <f>VLOOKUP("Leave Walk After",Data!$A:$B,2,FALSE)</f>
        <v>TIMED</v>
      </c>
      <c r="C21" s="1956"/>
      <c r="D21" s="1997">
        <v>26</v>
      </c>
      <c r="E21" s="2062">
        <f>VLOOKUP("Cycle Time",Data!$A:$AY,27,FALSE)</f>
        <v>0</v>
      </c>
      <c r="F21" s="2065">
        <f>VLOOKUP("Offset Time",Data!$A:$AY,27,FALSE)</f>
        <v>0</v>
      </c>
      <c r="G21" s="2065">
        <f>VLOOKUP("Split Number",Data!$A:$AY,27,FALSE)</f>
        <v>0</v>
      </c>
      <c r="H21" s="2068">
        <f>VLOOKUP("Seq Number",Data!$A:$AY,27,FALSE)</f>
        <v>1</v>
      </c>
      <c r="I21" s="1997">
        <v>26</v>
      </c>
      <c r="J21" s="1059" t="s">
        <v>216</v>
      </c>
      <c r="K21" s="1096">
        <f>VLOOKUP("Time",Data!$A$2537:$K$2542,2,FALSE)</f>
        <v>0</v>
      </c>
      <c r="L21" s="1062">
        <f>VLOOKUP("Time",Data!$A$2537:$K$2542,3,FALSE)</f>
        <v>0</v>
      </c>
      <c r="M21" s="1062">
        <f>VLOOKUP("Time",Data!$A$2537:$K$2542,4,FALSE)</f>
        <v>0</v>
      </c>
      <c r="N21" s="1062">
        <f>VLOOKUP("Time",Data!$A$2537:$K$2542,5,FALSE)</f>
        <v>0</v>
      </c>
      <c r="O21" s="1062">
        <f>VLOOKUP("Time",Data!$A$2537:$K$2542,6,FALSE)</f>
        <v>0</v>
      </c>
      <c r="P21" s="1062">
        <f>VLOOKUP("Time",Data!$A$2537:$K$2542,7,FALSE)</f>
        <v>0</v>
      </c>
      <c r="Q21" s="1062">
        <f>VLOOKUP("Time",Data!$A$2537:$K$2542,8,FALSE)</f>
        <v>0</v>
      </c>
      <c r="R21" s="1062">
        <f>VLOOKUP("Time",Data!$A$2537:$K$2542,9,FALSE)</f>
        <v>0</v>
      </c>
      <c r="S21" s="1062">
        <f>VLOOKUP("Time",Data!$A$2537:$K$2542,10,FALSE)</f>
        <v>0</v>
      </c>
      <c r="T21" s="1083">
        <f>VLOOKUP("Time",Data!$A$2537:$K$2542,11,FALSE)</f>
        <v>0</v>
      </c>
      <c r="U21" s="1997">
        <v>26</v>
      </c>
      <c r="V21" s="2039">
        <f>VLOOKUP("Short",Data!$A$1249:$AG$1283,27,FALSE)</f>
        <v>0</v>
      </c>
      <c r="W21" s="1874">
        <f>VLOOKUP("Long",Data!$A$1249:$AG$1283,27,FALSE)</f>
        <v>17</v>
      </c>
      <c r="X21" s="2041">
        <f>VLOOKUP("Dwell",Data!$A$1249:$AG$1283,27,FALSE)</f>
        <v>0</v>
      </c>
      <c r="Y21" s="2059">
        <f>VLOOKUP("No Short P 1",Data!$A$1249:$AG$1283,27,FALSE)</f>
        <v>0</v>
      </c>
      <c r="Z21" s="2029">
        <f>VLOOKUP("No Short P 2",Data!$A$1249:$AG$1283,27,FALSE)</f>
        <v>0</v>
      </c>
      <c r="AA21" s="2029">
        <f>VLOOKUP("No Short P 3",Data!$A$1249:$AG$1283,27,FALSE)</f>
        <v>0</v>
      </c>
      <c r="AB21" s="2032">
        <f>VLOOKUP("No Short P 4",Data!$A$1249:$AG$1283,27,FALSE)</f>
        <v>0</v>
      </c>
      <c r="AC21" s="2034">
        <f>VLOOKUP("Early Yield",Data!$A$1249:$AG$1283,27,FALSE)</f>
        <v>0</v>
      </c>
      <c r="AD21" s="1912" t="str">
        <f>VLOOKUP("Offset",Data!$A$1249:$AG$1283,27,FALSE)</f>
        <v>BegGRN</v>
      </c>
      <c r="AE21" s="2037" t="str">
        <f>IF(VLOOKUP("Ret Hold",Data!$A$1249:$AG$1283,27,FALSE)= "On", "X", "-")</f>
        <v>-</v>
      </c>
      <c r="AF21" s="2037" t="str">
        <f>IF(VLOOKUP("Float",Data!$A$1249:$AG$1283,27,FALSE)= "On", "X", "-")</f>
        <v>-</v>
      </c>
      <c r="AG21" s="1894" t="str">
        <f>IF(VLOOKUP("Min Veh Perm",Data!$A$1249:$AG$1283,27,FALSE)= "ON", "X", "-")</f>
        <v>-</v>
      </c>
      <c r="AH21" s="1894" t="str">
        <f>IF(VLOOKUP("Min Ped Perm",Data!$A$1249:$AG$1283,27,FALSE)= "ON", "X", "-")</f>
        <v>-</v>
      </c>
      <c r="AI21" s="2026" t="str">
        <f>VLOOKUP("MI",Data!$A$1249:$AG$1283,27,FALSE)</f>
        <v>OFF</v>
      </c>
    </row>
    <row r="22" spans="1:35">
      <c r="A22" s="1932" t="str">
        <f>Data!B124</f>
        <v>Alpha @ Beta</v>
      </c>
      <c r="B22" s="2677" t="s">
        <v>4000</v>
      </c>
      <c r="C22" s="2678"/>
      <c r="D22" s="1998"/>
      <c r="E22" s="2063"/>
      <c r="F22" s="2066"/>
      <c r="G22" s="2066"/>
      <c r="H22" s="2069"/>
      <c r="I22" s="1998"/>
      <c r="J22" s="1103" t="s">
        <v>646</v>
      </c>
      <c r="K22" s="1091" t="str">
        <f>IF(VLOOKUP("Coord Phase",Data!$A$2537:$K$2542,2,FALSE)="On", "X", " ")</f>
        <v xml:space="preserve"> </v>
      </c>
      <c r="L22" s="1061" t="str">
        <f>IF(VLOOKUP("Coord Phase",Data!$A$2537:$K$2542,3,FALSE)="On", "X", " ")</f>
        <v xml:space="preserve"> </v>
      </c>
      <c r="M22" s="1061" t="str">
        <f>IF(VLOOKUP("Coord Phase",Data!$A$2537:$K$2542,4,FALSE)="On", "X", " ")</f>
        <v xml:space="preserve"> </v>
      </c>
      <c r="N22" s="1061" t="str">
        <f>IF(VLOOKUP("Coord Phase",Data!$A$2537:$K$2542,5,FALSE)="On", "X", " ")</f>
        <v xml:space="preserve"> </v>
      </c>
      <c r="O22" s="1061" t="str">
        <f>IF(VLOOKUP("Coord Phase",Data!$A$2537:$K$2542,6,FALSE)="On", "X", " ")</f>
        <v xml:space="preserve"> </v>
      </c>
      <c r="P22" s="1061" t="str">
        <f>IF(VLOOKUP("Coord Phase",Data!$A$2537:$K$2542,7,FALSE)="On", "X", " ")</f>
        <v xml:space="preserve"> </v>
      </c>
      <c r="Q22" s="1061" t="str">
        <f>IF(VLOOKUP("Coord Phase",Data!$A$2537:$K$2542,8,FALSE)="On", "X", " ")</f>
        <v xml:space="preserve"> </v>
      </c>
      <c r="R22" s="1061" t="str">
        <f>IF(VLOOKUP("Coord Phase",Data!$A$2537:$K$2542,9,FALSE)="On", "X", " ")</f>
        <v xml:space="preserve"> </v>
      </c>
      <c r="S22" s="1061" t="str">
        <f>IF(VLOOKUP("Coord Phase",Data!$A$2537:$K$2542,10,FALSE)="On", "X", " ")</f>
        <v xml:space="preserve"> </v>
      </c>
      <c r="T22" s="1078" t="str">
        <f>IF(VLOOKUP("Coord Phase",Data!$A$2537:$K$2542,11,FALSE)="On", "X", " ")</f>
        <v xml:space="preserve"> </v>
      </c>
      <c r="U22" s="1998"/>
      <c r="V22" s="2035"/>
      <c r="W22" s="1825"/>
      <c r="X22" s="2042"/>
      <c r="Y22" s="2060"/>
      <c r="Z22" s="2030"/>
      <c r="AA22" s="2030"/>
      <c r="AB22" s="2027"/>
      <c r="AC22" s="2035"/>
      <c r="AD22" s="1848"/>
      <c r="AE22" s="2030"/>
      <c r="AF22" s="2030"/>
      <c r="AG22" s="1825"/>
      <c r="AH22" s="1825"/>
      <c r="AI22" s="2027"/>
    </row>
    <row r="23" spans="1:35" ht="13.8" thickBot="1">
      <c r="A23" s="1933"/>
      <c r="B23" s="2677"/>
      <c r="C23" s="2678"/>
      <c r="D23" s="2025"/>
      <c r="E23" s="2064"/>
      <c r="F23" s="2067"/>
      <c r="G23" s="2067"/>
      <c r="H23" s="2070"/>
      <c r="I23" s="2025"/>
      <c r="J23" s="1104" t="s">
        <v>53</v>
      </c>
      <c r="K23" s="1092" t="str">
        <f>VLOOKUP("Mode",Data!$A$2537:$K$2542,2,FALSE)</f>
        <v>NON</v>
      </c>
      <c r="L23" s="1063" t="str">
        <f>VLOOKUP("Mode",Data!$A$2537:$K$2542,3,FALSE)</f>
        <v>NON</v>
      </c>
      <c r="M23" s="1063" t="str">
        <f>VLOOKUP("Mode",Data!$A$2537:$K$2542,4,FALSE)</f>
        <v>NON</v>
      </c>
      <c r="N23" s="1063" t="str">
        <f>VLOOKUP("Mode",Data!$A$2537:$K$2542,5,FALSE)</f>
        <v>NON</v>
      </c>
      <c r="O23" s="1063" t="str">
        <f>VLOOKUP("Mode",Data!$A$2537:$K$2542,6,FALSE)</f>
        <v>NON</v>
      </c>
      <c r="P23" s="1063" t="str">
        <f>VLOOKUP("Mode",Data!$A$2537:$K$2542,7,FALSE)</f>
        <v>NON</v>
      </c>
      <c r="Q23" s="1063" t="str">
        <f>VLOOKUP("Mode",Data!$A$2537:$K$2542,8,FALSE)</f>
        <v>NON</v>
      </c>
      <c r="R23" s="1063" t="str">
        <f>VLOOKUP("Mode",Data!$A$2537:$K$2542,9,FALSE)</f>
        <v>NON</v>
      </c>
      <c r="S23" s="1063" t="str">
        <f>VLOOKUP("Mode",Data!$A$2537:$K$2542,10,FALSE)</f>
        <v>NON</v>
      </c>
      <c r="T23" s="1079" t="str">
        <f>VLOOKUP("Mode",Data!$A$2537:$K$2542,11,FALSE)</f>
        <v>NON</v>
      </c>
      <c r="U23" s="2025"/>
      <c r="V23" s="2040"/>
      <c r="W23" s="1826"/>
      <c r="X23" s="2043"/>
      <c r="Y23" s="2061"/>
      <c r="Z23" s="2031"/>
      <c r="AA23" s="2031"/>
      <c r="AB23" s="2033"/>
      <c r="AC23" s="2036"/>
      <c r="AD23" s="1913"/>
      <c r="AE23" s="2038"/>
      <c r="AF23" s="2038"/>
      <c r="AG23" s="1895"/>
      <c r="AH23" s="1895"/>
      <c r="AI23" s="2028"/>
    </row>
    <row r="24" spans="1:35">
      <c r="A24" s="1933"/>
      <c r="B24" s="2677"/>
      <c r="C24" s="2678"/>
      <c r="D24" s="2009">
        <v>27</v>
      </c>
      <c r="E24" s="2010">
        <f>VLOOKUP("Cycle Time",Data!$A:$AY,28,FALSE)</f>
        <v>0</v>
      </c>
      <c r="F24" s="2013">
        <f>VLOOKUP("Offset Time",Data!$A:$AY,28,FALSE)</f>
        <v>0</v>
      </c>
      <c r="G24" s="2013">
        <f>VLOOKUP("Split Number",Data!$A:$AY,28,FALSE)</f>
        <v>0</v>
      </c>
      <c r="H24" s="2016">
        <f>VLOOKUP("Seq Number",Data!$A:$AY,28,FALSE)</f>
        <v>1</v>
      </c>
      <c r="I24" s="2009">
        <v>27</v>
      </c>
      <c r="J24" s="1105" t="s">
        <v>216</v>
      </c>
      <c r="K24" s="1093">
        <f>VLOOKUP("Time",Data!$A$2543:$K$2548,2,FALSE)</f>
        <v>0</v>
      </c>
      <c r="L24" s="1069">
        <f>VLOOKUP("Time",Data!$A$2543:$K$2548,3,FALSE)</f>
        <v>0</v>
      </c>
      <c r="M24" s="1069">
        <f>VLOOKUP("Time",Data!$A$2543:$K$2548,4,FALSE)</f>
        <v>0</v>
      </c>
      <c r="N24" s="1069">
        <f>VLOOKUP("Time",Data!$A$2543:$K$2548,5,FALSE)</f>
        <v>0</v>
      </c>
      <c r="O24" s="1069">
        <f>VLOOKUP("Time",Data!$A$2543:$K$2548,6,FALSE)</f>
        <v>0</v>
      </c>
      <c r="P24" s="1069">
        <f>VLOOKUP("Time",Data!$A$2543:$K$2548,7,FALSE)</f>
        <v>0</v>
      </c>
      <c r="Q24" s="1069">
        <f>VLOOKUP("Time",Data!$A$2543:$K$2548,8,FALSE)</f>
        <v>0</v>
      </c>
      <c r="R24" s="1069">
        <f>VLOOKUP("Time",Data!$A$2543:$K$2548,9,FALSE)</f>
        <v>0</v>
      </c>
      <c r="S24" s="1069">
        <f>VLOOKUP("Time",Data!$A$2543:$K$2548,10,FALSE)</f>
        <v>0</v>
      </c>
      <c r="T24" s="1080">
        <f>VLOOKUP("Time",Data!$A$2543:$K$2548,11,FALSE)</f>
        <v>0</v>
      </c>
      <c r="U24" s="2009">
        <v>27</v>
      </c>
      <c r="V24" s="2049">
        <f>VLOOKUP("Short",Data!$A$1249:$AG$1283,28,FALSE)</f>
        <v>0</v>
      </c>
      <c r="W24" s="2051">
        <f>VLOOKUP("Long",Data!$A$1249:$AG$1283,28,FALSE)</f>
        <v>17</v>
      </c>
      <c r="X24" s="2053">
        <f>VLOOKUP("Dwell",Data!$A$1249:$AG$1283,28,FALSE)</f>
        <v>0</v>
      </c>
      <c r="Y24" s="2055">
        <f>VLOOKUP("No Short P 1",Data!$A$1249:$AG$1283,28,FALSE)</f>
        <v>0</v>
      </c>
      <c r="Z24" s="2057">
        <f>VLOOKUP("No Short P 2",Data!$A$1249:$AG$1283,28,FALSE)</f>
        <v>0</v>
      </c>
      <c r="AA24" s="2057">
        <f>VLOOKUP("No Short P 3",Data!$A$1249:$AG$1283,28,FALSE)</f>
        <v>0</v>
      </c>
      <c r="AB24" s="2047">
        <f>VLOOKUP("No Short P 4",Data!$A$1249:$AG$1283,28,FALSE)</f>
        <v>0</v>
      </c>
      <c r="AC24" s="2019">
        <f>VLOOKUP("Early Yield",Data!$A$1249:$AG$1283,28,FALSE)</f>
        <v>0</v>
      </c>
      <c r="AD24" s="2022" t="str">
        <f>VLOOKUP("Offset",Data!$A$1249:$AG$1283,28,FALSE)</f>
        <v>BegGRN</v>
      </c>
      <c r="AE24" s="1982" t="str">
        <f>IF(VLOOKUP("Ret Hold",Data!$A$1249:$AG$1283,28,FALSE)= "On", "X", "-")</f>
        <v>-</v>
      </c>
      <c r="AF24" s="1982" t="str">
        <f>IF(VLOOKUP("Float",Data!$A$1249:$AG$1283,28,FALSE)= "On", "X", "-")</f>
        <v>-</v>
      </c>
      <c r="AG24" s="1985" t="str">
        <f>IF(VLOOKUP("Min Veh Perm",Data!$A$1249:$AG$1283,28,FALSE)= "ON", "X", "-")</f>
        <v>-</v>
      </c>
      <c r="AH24" s="1985" t="str">
        <f>IF(VLOOKUP("Min Ped Perm",Data!$A$1249:$AG$1283,28,FALSE)= "ON", "X", "-")</f>
        <v>-</v>
      </c>
      <c r="AI24" s="1994" t="str">
        <f>VLOOKUP("MI",Data!$A$1249:$AG$1283,28,FALSE)</f>
        <v>OFF</v>
      </c>
    </row>
    <row r="25" spans="1:35">
      <c r="A25" s="1933"/>
      <c r="B25" s="2677"/>
      <c r="C25" s="2678"/>
      <c r="D25" s="1998"/>
      <c r="E25" s="2011"/>
      <c r="F25" s="2014"/>
      <c r="G25" s="2014"/>
      <c r="H25" s="2017"/>
      <c r="I25" s="1998"/>
      <c r="J25" s="1103" t="s">
        <v>646</v>
      </c>
      <c r="K25" s="1094" t="str">
        <f>IF(VLOOKUP("Coord Phase",Data!$A$2543:$K$2548,2,FALSE)="On", "X", " ")</f>
        <v xml:space="preserve"> </v>
      </c>
      <c r="L25" s="1070" t="str">
        <f>IF(VLOOKUP("Coord Phase",Data!$A$2543:$K$2548,3,FALSE)="On", "X", " ")</f>
        <v xml:space="preserve"> </v>
      </c>
      <c r="M25" s="1070" t="str">
        <f>IF(VLOOKUP("Coord Phase",Data!$A$2543:$K$2548,4,FALSE)="On", "X", " ")</f>
        <v xml:space="preserve"> </v>
      </c>
      <c r="N25" s="1070" t="str">
        <f>IF(VLOOKUP("Coord Phase",Data!$A$2543:$K$2548,5,FALSE)="On", "X", " ")</f>
        <v xml:space="preserve"> </v>
      </c>
      <c r="O25" s="1070" t="str">
        <f>IF(VLOOKUP("Coord Phase",Data!$A$2543:$K$2548,6,FALSE)="On", "X", " ")</f>
        <v xml:space="preserve"> </v>
      </c>
      <c r="P25" s="1070" t="str">
        <f>IF(VLOOKUP("Coord Phase",Data!$A$2543:$K$2548,7,FALSE)="On", "X", " ")</f>
        <v xml:space="preserve"> </v>
      </c>
      <c r="Q25" s="1070" t="str">
        <f>IF(VLOOKUP("Coord Phase",Data!$A$2543:$K$2548,8,FALSE)="On", "X", " ")</f>
        <v xml:space="preserve"> </v>
      </c>
      <c r="R25" s="1070" t="str">
        <f>IF(VLOOKUP("Coord Phase",Data!$A$2543:$K$2548,9,FALSE)="On", "X", " ")</f>
        <v xml:space="preserve"> </v>
      </c>
      <c r="S25" s="1070" t="str">
        <f>IF(VLOOKUP("Coord Phase",Data!$A$2543:$K$2548,10,FALSE)="On", "X", " ")</f>
        <v xml:space="preserve"> </v>
      </c>
      <c r="T25" s="1081" t="str">
        <f>IF(VLOOKUP("Coord Phase",Data!$A$2543:$K$2548,11,FALSE)="On", "X", " ")</f>
        <v xml:space="preserve"> </v>
      </c>
      <c r="U25" s="1998"/>
      <c r="V25" s="2020"/>
      <c r="W25" s="1986"/>
      <c r="X25" s="1989"/>
      <c r="Y25" s="1992"/>
      <c r="Z25" s="1983"/>
      <c r="AA25" s="1983"/>
      <c r="AB25" s="1995"/>
      <c r="AC25" s="2020"/>
      <c r="AD25" s="2023"/>
      <c r="AE25" s="1983"/>
      <c r="AF25" s="1983"/>
      <c r="AG25" s="1986"/>
      <c r="AH25" s="1986"/>
      <c r="AI25" s="1995"/>
    </row>
    <row r="26" spans="1:35" ht="13.8" thickBot="1">
      <c r="A26" s="1933"/>
      <c r="B26" s="2677"/>
      <c r="C26" s="2678"/>
      <c r="D26" s="1999"/>
      <c r="E26" s="2012"/>
      <c r="F26" s="2015"/>
      <c r="G26" s="2015"/>
      <c r="H26" s="2018"/>
      <c r="I26" s="1999"/>
      <c r="J26" s="1106" t="s">
        <v>53</v>
      </c>
      <c r="K26" s="1095" t="str">
        <f>VLOOKUP("Mode",Data!$A$2543:$K$2548,2,FALSE)</f>
        <v>NON</v>
      </c>
      <c r="L26" s="1071" t="str">
        <f>VLOOKUP("Mode",Data!$A$2543:$K$2548,3,FALSE)</f>
        <v>NON</v>
      </c>
      <c r="M26" s="1071" t="str">
        <f>VLOOKUP("Mode",Data!$A$2543:$K$2548,4,FALSE)</f>
        <v>NON</v>
      </c>
      <c r="N26" s="1071" t="str">
        <f>VLOOKUP("Mode",Data!$A$2543:$K$2548,5,FALSE)</f>
        <v>NON</v>
      </c>
      <c r="O26" s="1071" t="str">
        <f>VLOOKUP("Mode",Data!$A$2543:$K$2548,6,FALSE)</f>
        <v>NON</v>
      </c>
      <c r="P26" s="1071" t="str">
        <f>VLOOKUP("Mode",Data!$A$2543:$K$2548,7,FALSE)</f>
        <v>NON</v>
      </c>
      <c r="Q26" s="1071" t="str">
        <f>VLOOKUP("Mode",Data!$A$2543:$K$2548,8,FALSE)</f>
        <v>NON</v>
      </c>
      <c r="R26" s="1071" t="str">
        <f>VLOOKUP("Mode",Data!$A$2543:$K$2548,9,FALSE)</f>
        <v>NON</v>
      </c>
      <c r="S26" s="1071" t="str">
        <f>VLOOKUP("Mode",Data!$A$2543:$K$2548,10,FALSE)</f>
        <v>NON</v>
      </c>
      <c r="T26" s="1082" t="str">
        <f>VLOOKUP("Mode",Data!$A$2543:$K$2548,11,FALSE)</f>
        <v>NON</v>
      </c>
      <c r="U26" s="1999"/>
      <c r="V26" s="2050"/>
      <c r="W26" s="2052"/>
      <c r="X26" s="2054"/>
      <c r="Y26" s="2056"/>
      <c r="Z26" s="2058"/>
      <c r="AA26" s="2058"/>
      <c r="AB26" s="2048"/>
      <c r="AC26" s="2021"/>
      <c r="AD26" s="2024"/>
      <c r="AE26" s="1984"/>
      <c r="AF26" s="1984"/>
      <c r="AG26" s="1987"/>
      <c r="AH26" s="1987"/>
      <c r="AI26" s="1996"/>
    </row>
    <row r="27" spans="1:35">
      <c r="A27" s="1933"/>
      <c r="B27" s="2677"/>
      <c r="C27" s="2678"/>
      <c r="D27" s="1997">
        <v>28</v>
      </c>
      <c r="E27" s="2062">
        <f>VLOOKUP("Cycle Time",Data!$A:$AY,29,FALSE)</f>
        <v>0</v>
      </c>
      <c r="F27" s="2065">
        <f>VLOOKUP("Offset Time",Data!$A:$AY,29,FALSE)</f>
        <v>0</v>
      </c>
      <c r="G27" s="2065">
        <f>VLOOKUP("Split Number",Data!$A:$AY,29,FALSE)</f>
        <v>0</v>
      </c>
      <c r="H27" s="2068">
        <f>VLOOKUP("Seq Number",Data!$A:$AY,29,FALSE)</f>
        <v>1</v>
      </c>
      <c r="I27" s="1997">
        <v>28</v>
      </c>
      <c r="J27" s="1059" t="s">
        <v>216</v>
      </c>
      <c r="K27" s="1096">
        <f>VLOOKUP("Time",Data!$A$2549:$K$2554,2,FALSE)</f>
        <v>0</v>
      </c>
      <c r="L27" s="1062">
        <f>VLOOKUP("Time",Data!$A$2549:$K$2554,3,FALSE)</f>
        <v>0</v>
      </c>
      <c r="M27" s="1062">
        <f>VLOOKUP("Time",Data!$A$2549:$K$2554,4,FALSE)</f>
        <v>0</v>
      </c>
      <c r="N27" s="1062">
        <f>VLOOKUP("Time",Data!$A$2549:$K$2554,5,FALSE)</f>
        <v>0</v>
      </c>
      <c r="O27" s="1062">
        <f>VLOOKUP("Time",Data!$A$2549:$K$2554,6,FALSE)</f>
        <v>0</v>
      </c>
      <c r="P27" s="1062">
        <f>VLOOKUP("Time",Data!$A$2549:$K$2554,7,FALSE)</f>
        <v>0</v>
      </c>
      <c r="Q27" s="1062">
        <f>VLOOKUP("Time",Data!$A$2549:$K$2554,8,FALSE)</f>
        <v>0</v>
      </c>
      <c r="R27" s="1062">
        <f>VLOOKUP("Time",Data!$A$2549:$K$2554,9,FALSE)</f>
        <v>0</v>
      </c>
      <c r="S27" s="1062">
        <f>VLOOKUP("Time",Data!$A$2549:$K$2554,10,FALSE)</f>
        <v>0</v>
      </c>
      <c r="T27" s="1083">
        <f>VLOOKUP("Time",Data!$A$2549:$K$2554,11,FALSE)</f>
        <v>0</v>
      </c>
      <c r="U27" s="1997">
        <v>28</v>
      </c>
      <c r="V27" s="2039">
        <f>VLOOKUP("Short",Data!$A$1249:$AG$1283,29,FALSE)</f>
        <v>0</v>
      </c>
      <c r="W27" s="1874">
        <f>VLOOKUP("Long",Data!$A$1249:$AG$1283,29,FALSE)</f>
        <v>17</v>
      </c>
      <c r="X27" s="2041">
        <f>VLOOKUP("Dwell",Data!$A$1249:$AG$1283,29,FALSE)</f>
        <v>0</v>
      </c>
      <c r="Y27" s="2059">
        <f>VLOOKUP("No Short P 1",Data!$A$1249:$AG$1283,29,FALSE)</f>
        <v>0</v>
      </c>
      <c r="Z27" s="2029">
        <f>VLOOKUP("No Short P 2",Data!$A$1249:$AG$1283,29,FALSE)</f>
        <v>0</v>
      </c>
      <c r="AA27" s="2029">
        <f>VLOOKUP("No Short P 3",Data!$A$1249:$AG$1283,29,FALSE)</f>
        <v>0</v>
      </c>
      <c r="AB27" s="2032">
        <f>VLOOKUP("No Short P 4",Data!$A$1249:$AG$1283,29,FALSE)</f>
        <v>0</v>
      </c>
      <c r="AC27" s="2034">
        <f>VLOOKUP("Early Yield",Data!$A$1249:$AG$1283,29,FALSE)</f>
        <v>0</v>
      </c>
      <c r="AD27" s="1912" t="str">
        <f>VLOOKUP("Offset",Data!$A$1249:$AG$1283,29,FALSE)</f>
        <v>BegGRN</v>
      </c>
      <c r="AE27" s="2037" t="str">
        <f>IF(VLOOKUP("Ret Hold",Data!$A$1249:$AG$1283,29,FALSE)= "On", "X", "-")</f>
        <v>-</v>
      </c>
      <c r="AF27" s="2037" t="str">
        <f>IF(VLOOKUP("Float",Data!$A$1249:$AG$1283,29,FALSE)= "On", "X", "-")</f>
        <v>-</v>
      </c>
      <c r="AG27" s="1894" t="str">
        <f>IF(VLOOKUP("Min Veh Perm",Data!$A$1249:$AG$1283,29,FALSE)= "ON", "X", "-")</f>
        <v>-</v>
      </c>
      <c r="AH27" s="1894" t="str">
        <f>IF(VLOOKUP("Min Ped Perm",Data!$A$1249:$AG$1283,29,FALSE)= "ON", "X", "-")</f>
        <v>-</v>
      </c>
      <c r="AI27" s="2026" t="str">
        <f>VLOOKUP("MI",Data!$A$1249:$AG$1283,29,FALSE)</f>
        <v>OFF</v>
      </c>
    </row>
    <row r="28" spans="1:35">
      <c r="A28" s="1933"/>
      <c r="B28" s="2677"/>
      <c r="C28" s="2678"/>
      <c r="D28" s="1998"/>
      <c r="E28" s="2063"/>
      <c r="F28" s="2066"/>
      <c r="G28" s="2066"/>
      <c r="H28" s="2069"/>
      <c r="I28" s="1998"/>
      <c r="J28" s="1103" t="s">
        <v>646</v>
      </c>
      <c r="K28" s="1091" t="str">
        <f>IF(VLOOKUP("Coord Phase",Data!$A$2549:$K$2554,2,FALSE)="On", "X", " ")</f>
        <v xml:space="preserve"> </v>
      </c>
      <c r="L28" s="1061" t="str">
        <f>IF(VLOOKUP("Coord Phase",Data!$A$2549:$K$2554,3,FALSE)="On", "X", " ")</f>
        <v xml:space="preserve"> </v>
      </c>
      <c r="M28" s="1061" t="str">
        <f>IF(VLOOKUP("Coord Phase",Data!$A$2549:$K$2554,4,FALSE)="On", "X", " ")</f>
        <v xml:space="preserve"> </v>
      </c>
      <c r="N28" s="1061" t="str">
        <f>IF(VLOOKUP("Coord Phase",Data!$A$2549:$K$2554,5,FALSE)="On", "X", " ")</f>
        <v xml:space="preserve"> </v>
      </c>
      <c r="O28" s="1061" t="str">
        <f>IF(VLOOKUP("Coord Phase",Data!$A$2549:$K$2554,6,FALSE)="On", "X", " ")</f>
        <v xml:space="preserve"> </v>
      </c>
      <c r="P28" s="1061" t="str">
        <f>IF(VLOOKUP("Coord Phase",Data!$A$2549:$K$2554,7,FALSE)="On", "X", " ")</f>
        <v xml:space="preserve"> </v>
      </c>
      <c r="Q28" s="1061" t="str">
        <f>IF(VLOOKUP("Coord Phase",Data!$A$2549:$K$2554,8,FALSE)="On", "X", " ")</f>
        <v xml:space="preserve"> </v>
      </c>
      <c r="R28" s="1061" t="str">
        <f>IF(VLOOKUP("Coord Phase",Data!$A$2549:$K$2554,9,FALSE)="On", "X", " ")</f>
        <v xml:space="preserve"> </v>
      </c>
      <c r="S28" s="1061" t="str">
        <f>IF(VLOOKUP("Coord Phase",Data!$A$2549:$K$2554,10,FALSE)="On", "X", " ")</f>
        <v xml:space="preserve"> </v>
      </c>
      <c r="T28" s="1078" t="str">
        <f>IF(VLOOKUP("Coord Phase",Data!$A$2549:$K$2554,11,FALSE)="On", "X", " ")</f>
        <v xml:space="preserve"> </v>
      </c>
      <c r="U28" s="1998"/>
      <c r="V28" s="2035"/>
      <c r="W28" s="1825"/>
      <c r="X28" s="2042"/>
      <c r="Y28" s="2060"/>
      <c r="Z28" s="2030"/>
      <c r="AA28" s="2030"/>
      <c r="AB28" s="2027"/>
      <c r="AC28" s="2035"/>
      <c r="AD28" s="1848"/>
      <c r="AE28" s="2030"/>
      <c r="AF28" s="2030"/>
      <c r="AG28" s="1825"/>
      <c r="AH28" s="1825"/>
      <c r="AI28" s="2027"/>
    </row>
    <row r="29" spans="1:35" ht="13.8" thickBot="1">
      <c r="A29" s="1933"/>
      <c r="B29" s="2677"/>
      <c r="C29" s="2678"/>
      <c r="D29" s="2025"/>
      <c r="E29" s="2064"/>
      <c r="F29" s="2067"/>
      <c r="G29" s="2067"/>
      <c r="H29" s="2070"/>
      <c r="I29" s="2025"/>
      <c r="J29" s="1104" t="s">
        <v>53</v>
      </c>
      <c r="K29" s="1092" t="str">
        <f>VLOOKUP("Mode",Data!$A$2549:$K$2554,2,FALSE)</f>
        <v>NON</v>
      </c>
      <c r="L29" s="1063" t="str">
        <f>VLOOKUP("Mode",Data!$A$2549:$K$2554,3,FALSE)</f>
        <v>NON</v>
      </c>
      <c r="M29" s="1063" t="str">
        <f>VLOOKUP("Mode",Data!$A$2549:$K$2554,4,FALSE)</f>
        <v>NON</v>
      </c>
      <c r="N29" s="1063" t="str">
        <f>VLOOKUP("Mode",Data!$A$2549:$K$2554,5,FALSE)</f>
        <v>NON</v>
      </c>
      <c r="O29" s="1063" t="str">
        <f>VLOOKUP("Mode",Data!$A$2549:$K$2554,6,FALSE)</f>
        <v>NON</v>
      </c>
      <c r="P29" s="1063" t="str">
        <f>VLOOKUP("Mode",Data!$A$2549:$K$2554,7,FALSE)</f>
        <v>NON</v>
      </c>
      <c r="Q29" s="1063" t="str">
        <f>VLOOKUP("Mode",Data!$A$2549:$K$2554,8,FALSE)</f>
        <v>NON</v>
      </c>
      <c r="R29" s="1063" t="str">
        <f>VLOOKUP("Mode",Data!$A$2549:$K$2554,9,FALSE)</f>
        <v>NON</v>
      </c>
      <c r="S29" s="1063" t="str">
        <f>VLOOKUP("Mode",Data!$A$2549:$K$2554,10,FALSE)</f>
        <v>NON</v>
      </c>
      <c r="T29" s="1079" t="str">
        <f>VLOOKUP("Mode",Data!$A$2549:$K$2554,11,FALSE)</f>
        <v>NON</v>
      </c>
      <c r="U29" s="2025"/>
      <c r="V29" s="2040"/>
      <c r="W29" s="1826"/>
      <c r="X29" s="2043"/>
      <c r="Y29" s="2061"/>
      <c r="Z29" s="2031"/>
      <c r="AA29" s="2031"/>
      <c r="AB29" s="2033"/>
      <c r="AC29" s="2036"/>
      <c r="AD29" s="1913"/>
      <c r="AE29" s="2038"/>
      <c r="AF29" s="2038"/>
      <c r="AG29" s="1895"/>
      <c r="AH29" s="1895"/>
      <c r="AI29" s="2028"/>
    </row>
    <row r="30" spans="1:35">
      <c r="A30" s="1933"/>
      <c r="B30" s="2677"/>
      <c r="C30" s="2678"/>
      <c r="D30" s="2009">
        <v>29</v>
      </c>
      <c r="E30" s="2010">
        <f>VLOOKUP("Cycle Time",Data!$A:$AY,30,FALSE)</f>
        <v>0</v>
      </c>
      <c r="F30" s="2013">
        <f>VLOOKUP("Offset Time",Data!$A:$AY,30,FALSE)</f>
        <v>0</v>
      </c>
      <c r="G30" s="2013">
        <f>VLOOKUP("Split Number",Data!$A:$AY,30,FALSE)</f>
        <v>0</v>
      </c>
      <c r="H30" s="2016">
        <f>VLOOKUP("Seq Number",Data!$A:$AY,30,FALSE)</f>
        <v>1</v>
      </c>
      <c r="I30" s="2009">
        <v>29</v>
      </c>
      <c r="J30" s="1105" t="s">
        <v>216</v>
      </c>
      <c r="K30" s="1093">
        <f>VLOOKUP("Time",Data!$A$2555:$K$2560,2,FALSE)</f>
        <v>0</v>
      </c>
      <c r="L30" s="1069">
        <f>VLOOKUP("Time",Data!$A$2555:$K$2560,3,FALSE)</f>
        <v>0</v>
      </c>
      <c r="M30" s="1069">
        <f>VLOOKUP("Time",Data!$A$2555:$K$2560,4,FALSE)</f>
        <v>0</v>
      </c>
      <c r="N30" s="1069">
        <f>VLOOKUP("Time",Data!$A$2555:$K$2560,5,FALSE)</f>
        <v>0</v>
      </c>
      <c r="O30" s="1069">
        <f>VLOOKUP("Time",Data!$A$2555:$K$2560,6,FALSE)</f>
        <v>0</v>
      </c>
      <c r="P30" s="1069">
        <f>VLOOKUP("Time",Data!$A$2555:$K$2560,7,FALSE)</f>
        <v>0</v>
      </c>
      <c r="Q30" s="1069">
        <f>VLOOKUP("Time",Data!$A$2555:$K$2560,8,FALSE)</f>
        <v>0</v>
      </c>
      <c r="R30" s="1069">
        <f>VLOOKUP("Time",Data!$A$2555:$K$2560,9,FALSE)</f>
        <v>0</v>
      </c>
      <c r="S30" s="1069">
        <f>VLOOKUP("Time",Data!$A$2555:$K$2560,10,FALSE)</f>
        <v>0</v>
      </c>
      <c r="T30" s="1080">
        <f>VLOOKUP("Time",Data!$A$2555:$K$2560,11,FALSE)</f>
        <v>0</v>
      </c>
      <c r="U30" s="2009">
        <v>29</v>
      </c>
      <c r="V30" s="2049">
        <f>VLOOKUP("Short",Data!$A$1249:$AG$1283,30,FALSE)</f>
        <v>0</v>
      </c>
      <c r="W30" s="2051">
        <f>VLOOKUP("Long",Data!$A$1249:$AG$1283,30,FALSE)</f>
        <v>17</v>
      </c>
      <c r="X30" s="2053">
        <f>VLOOKUP("Dwell",Data!$A$1249:$AG$1283,30,FALSE)</f>
        <v>0</v>
      </c>
      <c r="Y30" s="2055">
        <f>VLOOKUP("No Short P 1",Data!$A$1249:$AG$1283,30,FALSE)</f>
        <v>0</v>
      </c>
      <c r="Z30" s="2057">
        <f>VLOOKUP("No Short P 2",Data!$A$1249:$AG$1283,30,FALSE)</f>
        <v>0</v>
      </c>
      <c r="AA30" s="2057">
        <f>VLOOKUP("No Short P 3",Data!$A$1249:$AG$1283,30,FALSE)</f>
        <v>0</v>
      </c>
      <c r="AB30" s="2047">
        <f>VLOOKUP("No Short P 4",Data!$A$1249:$AG$1283,30,FALSE)</f>
        <v>0</v>
      </c>
      <c r="AC30" s="2019">
        <f>VLOOKUP("Early Yield",Data!$A$1249:$AG$1283,30,FALSE)</f>
        <v>0</v>
      </c>
      <c r="AD30" s="2022" t="str">
        <f>VLOOKUP("Offset",Data!$A$1249:$AG$1283,30,FALSE)</f>
        <v>BegGRN</v>
      </c>
      <c r="AE30" s="1982" t="str">
        <f>IF(VLOOKUP("Ret Hold",Data!$A$1249:$AG$1283,30,FALSE)= "On", "X", "-")</f>
        <v>-</v>
      </c>
      <c r="AF30" s="1982" t="str">
        <f>IF(VLOOKUP("Float",Data!$A$1249:$AG$1283,30,FALSE)= "On", "X", "-")</f>
        <v>-</v>
      </c>
      <c r="AG30" s="1985" t="str">
        <f>IF(VLOOKUP("Min Veh Perm",Data!$A$1249:$AG$1283,30,FALSE)= "ON", "X", "-")</f>
        <v>-</v>
      </c>
      <c r="AH30" s="1985" t="str">
        <f>IF(VLOOKUP("Min Ped Perm",Data!$A$1249:$AG$1283,30,FALSE)= "ON", "X", "-")</f>
        <v>-</v>
      </c>
      <c r="AI30" s="1994" t="str">
        <f>VLOOKUP("MI",Data!$A$1249:$AG$1283,30,FALSE)</f>
        <v>OFF</v>
      </c>
    </row>
    <row r="31" spans="1:35">
      <c r="A31" s="1933"/>
      <c r="B31" s="2677"/>
      <c r="C31" s="2678"/>
      <c r="D31" s="1998"/>
      <c r="E31" s="2011"/>
      <c r="F31" s="2014"/>
      <c r="G31" s="2014"/>
      <c r="H31" s="2017"/>
      <c r="I31" s="1998"/>
      <c r="J31" s="1103" t="s">
        <v>646</v>
      </c>
      <c r="K31" s="1094" t="str">
        <f>IF(VLOOKUP("Coord Phase",Data!$A$2555:$K$2560,2,FALSE)="On", "X", " ")</f>
        <v xml:space="preserve"> </v>
      </c>
      <c r="L31" s="1070" t="str">
        <f>IF(VLOOKUP("Coord Phase",Data!$A$2555:$K$2560,3,FALSE)="On", "X", " ")</f>
        <v xml:space="preserve"> </v>
      </c>
      <c r="M31" s="1070" t="str">
        <f>IF(VLOOKUP("Coord Phase",Data!$A$2555:$K$2560,4,FALSE)="On", "X", " ")</f>
        <v xml:space="preserve"> </v>
      </c>
      <c r="N31" s="1070" t="str">
        <f>IF(VLOOKUP("Coord Phase",Data!$A$2555:$K$2560,5,FALSE)="On", "X", " ")</f>
        <v xml:space="preserve"> </v>
      </c>
      <c r="O31" s="1070" t="str">
        <f>IF(VLOOKUP("Coord Phase",Data!$A$2555:$K$2560,6,FALSE)="On", "X", " ")</f>
        <v xml:space="preserve"> </v>
      </c>
      <c r="P31" s="1070" t="str">
        <f>IF(VLOOKUP("Coord Phase",Data!$A$2555:$K$2560,7,FALSE)="On", "X", " ")</f>
        <v xml:space="preserve"> </v>
      </c>
      <c r="Q31" s="1070" t="str">
        <f>IF(VLOOKUP("Coord Phase",Data!$A$2555:$K$2560,8,FALSE)="On", "X", " ")</f>
        <v xml:space="preserve"> </v>
      </c>
      <c r="R31" s="1070" t="str">
        <f>IF(VLOOKUP("Coord Phase",Data!$A$2555:$K$2560,9,FALSE)="On", "X", " ")</f>
        <v xml:space="preserve"> </v>
      </c>
      <c r="S31" s="1070" t="str">
        <f>IF(VLOOKUP("Coord Phase",Data!$A$2555:$K$2560,10,FALSE)="On", "X", " ")</f>
        <v xml:space="preserve"> </v>
      </c>
      <c r="T31" s="1081" t="str">
        <f>IF(VLOOKUP("Coord Phase",Data!$A$2555:$K$2560,11,FALSE)="On", "X", " ")</f>
        <v xml:space="preserve"> </v>
      </c>
      <c r="U31" s="1998"/>
      <c r="V31" s="2020"/>
      <c r="W31" s="1986"/>
      <c r="X31" s="1989"/>
      <c r="Y31" s="1992"/>
      <c r="Z31" s="1983"/>
      <c r="AA31" s="1983"/>
      <c r="AB31" s="1995"/>
      <c r="AC31" s="2020"/>
      <c r="AD31" s="2023"/>
      <c r="AE31" s="1983"/>
      <c r="AF31" s="1983"/>
      <c r="AG31" s="1986"/>
      <c r="AH31" s="1986"/>
      <c r="AI31" s="1995"/>
    </row>
    <row r="32" spans="1:35" ht="13.8" thickBot="1">
      <c r="A32" s="1933"/>
      <c r="B32" s="2677"/>
      <c r="C32" s="2678"/>
      <c r="D32" s="1999"/>
      <c r="E32" s="2012"/>
      <c r="F32" s="2015"/>
      <c r="G32" s="2015"/>
      <c r="H32" s="2018"/>
      <c r="I32" s="1999"/>
      <c r="J32" s="1106" t="s">
        <v>53</v>
      </c>
      <c r="K32" s="1095" t="str">
        <f>VLOOKUP("Mode",Data!$A$2555:$K$2560,2,FALSE)</f>
        <v>NON</v>
      </c>
      <c r="L32" s="1071" t="str">
        <f>VLOOKUP("Mode",Data!$A$2555:$K$2560,3,FALSE)</f>
        <v>NON</v>
      </c>
      <c r="M32" s="1071" t="str">
        <f>VLOOKUP("Mode",Data!$A$2555:$K$2560,4,FALSE)</f>
        <v>NON</v>
      </c>
      <c r="N32" s="1071" t="str">
        <f>VLOOKUP("Mode",Data!$A$2555:$K$2560,5,FALSE)</f>
        <v>NON</v>
      </c>
      <c r="O32" s="1071" t="str">
        <f>VLOOKUP("Mode",Data!$A$2555:$K$2560,6,FALSE)</f>
        <v>NON</v>
      </c>
      <c r="P32" s="1071" t="str">
        <f>VLOOKUP("Mode",Data!$A$2555:$K$2560,7,FALSE)</f>
        <v>NON</v>
      </c>
      <c r="Q32" s="1071" t="str">
        <f>VLOOKUP("Mode",Data!$A$2555:$K$2560,8,FALSE)</f>
        <v>NON</v>
      </c>
      <c r="R32" s="1071" t="str">
        <f>VLOOKUP("Mode",Data!$A$2555:$K$2560,9,FALSE)</f>
        <v>NON</v>
      </c>
      <c r="S32" s="1071" t="str">
        <f>VLOOKUP("Mode",Data!$A$2555:$K$2560,10,FALSE)</f>
        <v>NON</v>
      </c>
      <c r="T32" s="1082" t="str">
        <f>VLOOKUP("Mode",Data!$A$2555:$K$2560,11,FALSE)</f>
        <v>NON</v>
      </c>
      <c r="U32" s="1999"/>
      <c r="V32" s="2050"/>
      <c r="W32" s="2052"/>
      <c r="X32" s="2054"/>
      <c r="Y32" s="2056"/>
      <c r="Z32" s="2058"/>
      <c r="AA32" s="2058"/>
      <c r="AB32" s="2048"/>
      <c r="AC32" s="2021"/>
      <c r="AD32" s="2024"/>
      <c r="AE32" s="1984"/>
      <c r="AF32" s="1984"/>
      <c r="AG32" s="1987"/>
      <c r="AH32" s="1987"/>
      <c r="AI32" s="1996"/>
    </row>
    <row r="33" spans="1:35" ht="12.75" customHeight="1">
      <c r="A33" s="1933"/>
      <c r="B33" s="2677"/>
      <c r="C33" s="2678"/>
      <c r="D33" s="1997">
        <v>30</v>
      </c>
      <c r="E33" s="2000">
        <f>VLOOKUP("Cycle Time",Data!$A:$AY,31,FALSE)</f>
        <v>0</v>
      </c>
      <c r="F33" s="2003">
        <f>VLOOKUP("Offset Time",Data!$A:$AY,31,FALSE)</f>
        <v>0</v>
      </c>
      <c r="G33" s="2003">
        <f>VLOOKUP("Split Number",Data!$A:$AY,31,FALSE)</f>
        <v>0</v>
      </c>
      <c r="H33" s="2006">
        <f>VLOOKUP("Seq Number",Data!$A:$AY,31,FALSE)</f>
        <v>1</v>
      </c>
      <c r="I33" s="1997">
        <v>30</v>
      </c>
      <c r="J33" s="1105" t="s">
        <v>216</v>
      </c>
      <c r="K33" s="1097">
        <f>VLOOKUP("Time",Data!$A$2561:$K$2566,2,FALSE)</f>
        <v>0</v>
      </c>
      <c r="L33" s="1074">
        <f>VLOOKUP("Time",Data!$A$2561:$K$2566,3,FALSE)</f>
        <v>0</v>
      </c>
      <c r="M33" s="1074">
        <f>VLOOKUP("Time",Data!$A$2561:$K$2566,4,FALSE)</f>
        <v>0</v>
      </c>
      <c r="N33" s="1074">
        <f>VLOOKUP("Time",Data!$A$2561:$K$2566,5,FALSE)</f>
        <v>0</v>
      </c>
      <c r="O33" s="1074">
        <f>VLOOKUP("Time",Data!$A$2561:$K$2566,6,FALSE)</f>
        <v>0</v>
      </c>
      <c r="P33" s="1074">
        <f>VLOOKUP("Time",Data!$A$2561:$K$2566,7,FALSE)</f>
        <v>0</v>
      </c>
      <c r="Q33" s="1074">
        <f>VLOOKUP("Time",Data!$A$2561:$K$2566,8,FALSE)</f>
        <v>0</v>
      </c>
      <c r="R33" s="1074">
        <f>VLOOKUP("Time",Data!$A$2561:$K$2566,9,FALSE)</f>
        <v>0</v>
      </c>
      <c r="S33" s="1074">
        <f>VLOOKUP("Time",Data!$A$2561:$K$2566,10,FALSE)</f>
        <v>0</v>
      </c>
      <c r="T33" s="1084">
        <f>VLOOKUP("Time",Data!$A$2561:$K$2566,11,FALSE)</f>
        <v>0</v>
      </c>
      <c r="U33" s="1997">
        <v>30</v>
      </c>
      <c r="V33" s="1979">
        <f>VLOOKUP("Short",Data!$A$1249:$AG$1283,31,FALSE)</f>
        <v>0</v>
      </c>
      <c r="W33" s="1738">
        <f>VLOOKUP("Long",Data!$A$1249:$AG$1283,31,FALSE)</f>
        <v>17</v>
      </c>
      <c r="X33" s="1973">
        <f>VLOOKUP("Dwell",Data!$A$1249:$AG$1283,31,FALSE)</f>
        <v>0</v>
      </c>
      <c r="Y33" s="1976">
        <f>VLOOKUP("No Short P 1",Data!$A$1249:$AG$1283,31,FALSE)</f>
        <v>0</v>
      </c>
      <c r="Z33" s="1967">
        <f>VLOOKUP("No Short P 2",Data!$A$1249:$AG$1283,31,FALSE)</f>
        <v>0</v>
      </c>
      <c r="AA33" s="1967">
        <f>VLOOKUP("No Short P 3",Data!$A$1249:$AG$1283,31,FALSE)</f>
        <v>0</v>
      </c>
      <c r="AB33" s="1970">
        <f>VLOOKUP("No Short P 4",Data!$A$1249:$AG$1283,31,FALSE)</f>
        <v>0</v>
      </c>
      <c r="AC33" s="1979">
        <f>VLOOKUP("Early Yield",Data!$A$1249:$AG$1283,31,FALSE)</f>
        <v>0</v>
      </c>
      <c r="AD33" s="1789" t="str">
        <f>VLOOKUP("Offset",Data!$A$1249:$AG$1283,31,FALSE)</f>
        <v>BegGRN</v>
      </c>
      <c r="AE33" s="1967" t="str">
        <f>IF(VLOOKUP("Ret Hold",Data!$A$1249:$AG$1283,31,FALSE)= "On", "X", "-")</f>
        <v>-</v>
      </c>
      <c r="AF33" s="1967" t="str">
        <f>IF(VLOOKUP("Float",Data!$A$1249:$AG$1283,31,FALSE)= "On", "X", "-")</f>
        <v>-</v>
      </c>
      <c r="AG33" s="1738" t="str">
        <f>IF(VLOOKUP("Min Veh Perm",Data!$A$1249:$AG$1283,31,FALSE)= "ON", "X", "-")</f>
        <v>-</v>
      </c>
      <c r="AH33" s="1738" t="str">
        <f>IF(VLOOKUP("Min Ped Perm",Data!$A$1249:$AG$1283,31,FALSE)= "ON", "X", "-")</f>
        <v>-</v>
      </c>
      <c r="AI33" s="1970" t="str">
        <f>VLOOKUP("MI",Data!$A$1249:$AG$1283,31,FALSE)</f>
        <v>OFF</v>
      </c>
    </row>
    <row r="34" spans="1:35" ht="13.5" customHeight="1">
      <c r="A34" s="1933"/>
      <c r="B34" s="2677"/>
      <c r="C34" s="2678"/>
      <c r="D34" s="1998"/>
      <c r="E34" s="2001"/>
      <c r="F34" s="2004"/>
      <c r="G34" s="2004"/>
      <c r="H34" s="2007"/>
      <c r="I34" s="1998"/>
      <c r="J34" s="1103" t="s">
        <v>646</v>
      </c>
      <c r="K34" s="1098" t="str">
        <f>IF(VLOOKUP("Coord Phase",Data!$A$2561:$K$2566,2,FALSE)="On", "X", " ")</f>
        <v xml:space="preserve"> </v>
      </c>
      <c r="L34" s="1075" t="str">
        <f>IF(VLOOKUP("Coord Phase",Data!$A$2561:$K$2566,3,FALSE)="On", "X", " ")</f>
        <v xml:space="preserve"> </v>
      </c>
      <c r="M34" s="1075" t="str">
        <f>IF(VLOOKUP("Coord Phase",Data!$A$2561:$K$2566,4,FALSE)="On", "X", " ")</f>
        <v xml:space="preserve"> </v>
      </c>
      <c r="N34" s="1075" t="str">
        <f>IF(VLOOKUP("Coord Phase",Data!$A$2561:$K$2566,5,FALSE)="On", "X", " ")</f>
        <v xml:space="preserve"> </v>
      </c>
      <c r="O34" s="1075" t="str">
        <f>IF(VLOOKUP("Coord Phase",Data!$A$2561:$K$2566,6,FALSE)="On", "X", " ")</f>
        <v xml:space="preserve"> </v>
      </c>
      <c r="P34" s="1075" t="str">
        <f>IF(VLOOKUP("Coord Phase",Data!$A$2561:$K$2566,7,FALSE)="On", "X", " ")</f>
        <v xml:space="preserve"> </v>
      </c>
      <c r="Q34" s="1075" t="str">
        <f>IF(VLOOKUP("Coord Phase",Data!$A$2561:$K$2566,8,FALSE)="On", "X", " ")</f>
        <v xml:space="preserve"> </v>
      </c>
      <c r="R34" s="1075" t="str">
        <f>IF(VLOOKUP("Coord Phase",Data!$A$2561:$K$2566,9,FALSE)="On", "X", " ")</f>
        <v xml:space="preserve"> </v>
      </c>
      <c r="S34" s="1075" t="str">
        <f>IF(VLOOKUP("Coord Phase",Data!$A$2561:$K$2566,10,FALSE)="On", "X", " ")</f>
        <v xml:space="preserve"> </v>
      </c>
      <c r="T34" s="1085" t="str">
        <f>IF(VLOOKUP("Coord Phase",Data!$A$2561:$K$2566,11,FALSE)="On", "X", " ")</f>
        <v xml:space="preserve"> </v>
      </c>
      <c r="U34" s="1998"/>
      <c r="V34" s="1980"/>
      <c r="W34" s="1712"/>
      <c r="X34" s="1974"/>
      <c r="Y34" s="1977"/>
      <c r="Z34" s="1968"/>
      <c r="AA34" s="1968"/>
      <c r="AB34" s="1971"/>
      <c r="AC34" s="1980"/>
      <c r="AD34" s="1736"/>
      <c r="AE34" s="1968"/>
      <c r="AF34" s="1968"/>
      <c r="AG34" s="1712"/>
      <c r="AH34" s="1712"/>
      <c r="AI34" s="1971"/>
    </row>
    <row r="35" spans="1:35" ht="12.75" customHeight="1" thickBot="1">
      <c r="A35" s="1933"/>
      <c r="B35" s="2677"/>
      <c r="C35" s="2678"/>
      <c r="D35" s="2025"/>
      <c r="E35" s="2002"/>
      <c r="F35" s="2005"/>
      <c r="G35" s="2005"/>
      <c r="H35" s="2008"/>
      <c r="I35" s="2025"/>
      <c r="J35" s="1106" t="s">
        <v>53</v>
      </c>
      <c r="K35" s="1099" t="str">
        <f>VLOOKUP("Mode",Data!$A$2561:$K$2566,2,FALSE)</f>
        <v>NON</v>
      </c>
      <c r="L35" s="1076" t="str">
        <f>VLOOKUP("Mode",Data!$A$2561:$K$2566,3,FALSE)</f>
        <v>NON</v>
      </c>
      <c r="M35" s="1076" t="str">
        <f>VLOOKUP("Mode",Data!$A$2561:$K$2566,4,FALSE)</f>
        <v>NON</v>
      </c>
      <c r="N35" s="1076" t="str">
        <f>VLOOKUP("Mode",Data!$A$2561:$K$2566,5,FALSE)</f>
        <v>NON</v>
      </c>
      <c r="O35" s="1076" t="str">
        <f>VLOOKUP("Mode",Data!$A$2561:$K$2566,6,FALSE)</f>
        <v>NON</v>
      </c>
      <c r="P35" s="1076" t="str">
        <f>VLOOKUP("Mode",Data!$A$2561:$K$2566,7,FALSE)</f>
        <v>NON</v>
      </c>
      <c r="Q35" s="1076" t="str">
        <f>VLOOKUP("Mode",Data!$A$2561:$K$2566,8,FALSE)</f>
        <v>NON</v>
      </c>
      <c r="R35" s="1076" t="str">
        <f>VLOOKUP("Mode",Data!$A$2561:$K$2566,9,FALSE)</f>
        <v>NON</v>
      </c>
      <c r="S35" s="1076" t="str">
        <f>VLOOKUP("Mode",Data!$A$2561:$K$2566,10,FALSE)</f>
        <v>NON</v>
      </c>
      <c r="T35" s="1086" t="str">
        <f>VLOOKUP("Mode",Data!$A$2561:$K$2566,11,FALSE)</f>
        <v>NON</v>
      </c>
      <c r="U35" s="2025"/>
      <c r="V35" s="1981"/>
      <c r="W35" s="1713"/>
      <c r="X35" s="1975"/>
      <c r="Y35" s="1978"/>
      <c r="Z35" s="1969"/>
      <c r="AA35" s="1969"/>
      <c r="AB35" s="1972"/>
      <c r="AC35" s="1981"/>
      <c r="AD35" s="1737"/>
      <c r="AE35" s="1969"/>
      <c r="AF35" s="1969"/>
      <c r="AG35" s="1713"/>
      <c r="AH35" s="1713"/>
      <c r="AI35" s="1972"/>
    </row>
    <row r="36" spans="1:35" ht="12.75" customHeight="1">
      <c r="A36" s="1806" t="s">
        <v>657</v>
      </c>
      <c r="B36" s="2677"/>
      <c r="C36" s="2678"/>
      <c r="D36" s="2009">
        <v>31</v>
      </c>
      <c r="E36" s="2010">
        <f>VLOOKUP("Cycle Time",Data!$A:$AY,32,FALSE)</f>
        <v>0</v>
      </c>
      <c r="F36" s="2013">
        <f>VLOOKUP("Offset Time",Data!$A:$AY,32,FALSE)</f>
        <v>0</v>
      </c>
      <c r="G36" s="2013">
        <f>VLOOKUP("Split Number",Data!$A:$AY,32,FALSE)</f>
        <v>0</v>
      </c>
      <c r="H36" s="2016">
        <f>VLOOKUP("Seq Number",Data!$A:$AY,32,FALSE)</f>
        <v>1</v>
      </c>
      <c r="I36" s="2009">
        <v>31</v>
      </c>
      <c r="J36" s="1059" t="s">
        <v>216</v>
      </c>
      <c r="K36" s="1100">
        <f>VLOOKUP("Time",Data!$A$2567:$K$2572,2,FALSE)</f>
        <v>0</v>
      </c>
      <c r="L36" s="1072">
        <f>VLOOKUP("Time",Data!$A$2567:$K$2572,3,FALSE)</f>
        <v>0</v>
      </c>
      <c r="M36" s="1072">
        <f>VLOOKUP("Time",Data!$A$2567:$K$2572,4,FALSE)</f>
        <v>0</v>
      </c>
      <c r="N36" s="1072">
        <f>VLOOKUP("Time",Data!$A$2567:$K$2572,5,FALSE)</f>
        <v>0</v>
      </c>
      <c r="O36" s="1072">
        <f>VLOOKUP("Time",Data!$A$2567:$K$2572,6,FALSE)</f>
        <v>0</v>
      </c>
      <c r="P36" s="1072">
        <f>VLOOKUP("Time",Data!$A$2567:$K$2572,7,FALSE)</f>
        <v>0</v>
      </c>
      <c r="Q36" s="1072">
        <f>VLOOKUP("Time",Data!$A$2567:$K$2572,8,FALSE)</f>
        <v>0</v>
      </c>
      <c r="R36" s="1072">
        <f>VLOOKUP("Time",Data!$A$2567:$K$2572,9,FALSE)</f>
        <v>0</v>
      </c>
      <c r="S36" s="1072">
        <f>VLOOKUP("Time",Data!$A$2567:$K$2572,10,FALSE)</f>
        <v>0</v>
      </c>
      <c r="T36" s="1087">
        <f>VLOOKUP("Time",Data!$A$2567:$K$2572,11,FALSE)</f>
        <v>0</v>
      </c>
      <c r="U36" s="2009">
        <v>31</v>
      </c>
      <c r="V36" s="2019">
        <f>VLOOKUP("Short",Data!$A$1249:$AG$1283,32,FALSE)</f>
        <v>0</v>
      </c>
      <c r="W36" s="1985">
        <f>VLOOKUP("Long",Data!$A$1249:$AG$1283,32,FALSE)</f>
        <v>17</v>
      </c>
      <c r="X36" s="1988">
        <f>VLOOKUP("Dwell",Data!$A$1249:$AG$1283,32,FALSE)</f>
        <v>0</v>
      </c>
      <c r="Y36" s="1991">
        <f>VLOOKUP("No Short P 1",Data!$A$1249:$AG$1283,32,FALSE)</f>
        <v>0</v>
      </c>
      <c r="Z36" s="1982">
        <f>VLOOKUP("No Short P 2",Data!$A$1249:$AG$1283,32,FALSE)</f>
        <v>0</v>
      </c>
      <c r="AA36" s="1982">
        <f>VLOOKUP("No Short P 3",Data!$A$1249:$AG$1283,32,FALSE)</f>
        <v>0</v>
      </c>
      <c r="AB36" s="1994">
        <f>VLOOKUP("No Short P 4",Data!$A$1249:$AG$1283,32,FALSE)</f>
        <v>0</v>
      </c>
      <c r="AC36" s="2019">
        <f>VLOOKUP("Early Yield",Data!$A$1249:$AG$1283,32,FALSE)</f>
        <v>0</v>
      </c>
      <c r="AD36" s="2022" t="str">
        <f>VLOOKUP("Offset",Data!$A$1249:$AG$1283,32,FALSE)</f>
        <v>BegGRN</v>
      </c>
      <c r="AE36" s="1982" t="str">
        <f>IF(VLOOKUP("Ret Hold",Data!$A$1249:$AG$1283,32,FALSE)= "On", "X", "-")</f>
        <v>-</v>
      </c>
      <c r="AF36" s="1982" t="str">
        <f>IF(VLOOKUP("Float",Data!$A$1249:$AG$1283,32,FALSE)= "On", "X", "-")</f>
        <v>-</v>
      </c>
      <c r="AG36" s="1985" t="str">
        <f>IF(VLOOKUP("Min Veh Perm",Data!$A$1249:$AG$1283,32,FALSE)= "ON", "X", "-")</f>
        <v>-</v>
      </c>
      <c r="AH36" s="1985" t="str">
        <f>IF(VLOOKUP("Min Ped Perm",Data!$A$1249:$AG$1283,32,FALSE)= "ON", "X", "-")</f>
        <v>-</v>
      </c>
      <c r="AI36" s="1994" t="str">
        <f>VLOOKUP("MI",Data!$A$1249:$AG$1283,32,FALSE)</f>
        <v>OFF</v>
      </c>
    </row>
    <row r="37" spans="1:35" ht="13.5" customHeight="1">
      <c r="A37" s="1806"/>
      <c r="B37" s="2677"/>
      <c r="C37" s="2678"/>
      <c r="D37" s="1998"/>
      <c r="E37" s="2011"/>
      <c r="F37" s="2014"/>
      <c r="G37" s="2014"/>
      <c r="H37" s="2017"/>
      <c r="I37" s="1998"/>
      <c r="J37" s="1103" t="s">
        <v>646</v>
      </c>
      <c r="K37" s="1094" t="str">
        <f>IF(VLOOKUP("Coord Phase",Data!$A$2567:$K$2572,2,FALSE)="On", "X", " ")</f>
        <v xml:space="preserve"> </v>
      </c>
      <c r="L37" s="1070" t="str">
        <f>IF(VLOOKUP("Coord Phase",Data!$A$2567:$K$2572,3,FALSE)="On", "X", " ")</f>
        <v xml:space="preserve"> </v>
      </c>
      <c r="M37" s="1070" t="str">
        <f>IF(VLOOKUP("Coord Phase",Data!$A$2567:$K$2572,4,FALSE)="On", "X", " ")</f>
        <v xml:space="preserve"> </v>
      </c>
      <c r="N37" s="1070" t="str">
        <f>IF(VLOOKUP("Coord Phase",Data!$A$2567:$K$2572,5,FALSE)="On", "X", " ")</f>
        <v xml:space="preserve"> </v>
      </c>
      <c r="O37" s="1070" t="str">
        <f>IF(VLOOKUP("Coord Phase",Data!$A$2567:$K$2572,6,FALSE)="On", "X", " ")</f>
        <v xml:space="preserve"> </v>
      </c>
      <c r="P37" s="1070" t="str">
        <f>IF(VLOOKUP("Coord Phase",Data!$A$2567:$K$2572,7,FALSE)="On", "X", " ")</f>
        <v xml:space="preserve"> </v>
      </c>
      <c r="Q37" s="1070" t="str">
        <f>IF(VLOOKUP("Coord Phase",Data!$A$2567:$K$2572,8,FALSE)="On", "X", " ")</f>
        <v xml:space="preserve"> </v>
      </c>
      <c r="R37" s="1070" t="str">
        <f>IF(VLOOKUP("Coord Phase",Data!$A$2567:$K$2572,9,FALSE)="On", "X", " ")</f>
        <v xml:space="preserve"> </v>
      </c>
      <c r="S37" s="1070" t="str">
        <f>IF(VLOOKUP("Coord Phase",Data!$A$2567:$K$2572,10,FALSE)="On", "X", " ")</f>
        <v xml:space="preserve"> </v>
      </c>
      <c r="T37" s="1081" t="str">
        <f>IF(VLOOKUP("Coord Phase",Data!$A$2567:$K$2572,11,FALSE)="On", "X", " ")</f>
        <v xml:space="preserve"> </v>
      </c>
      <c r="U37" s="1998"/>
      <c r="V37" s="2020"/>
      <c r="W37" s="1986"/>
      <c r="X37" s="1989"/>
      <c r="Y37" s="1992"/>
      <c r="Z37" s="1983"/>
      <c r="AA37" s="1983"/>
      <c r="AB37" s="1995"/>
      <c r="AC37" s="2020"/>
      <c r="AD37" s="2023"/>
      <c r="AE37" s="1983"/>
      <c r="AF37" s="1983"/>
      <c r="AG37" s="1986"/>
      <c r="AH37" s="1986"/>
      <c r="AI37" s="1995"/>
    </row>
    <row r="38" spans="1:35" ht="12.75" customHeight="1" thickBot="1">
      <c r="A38" s="1806"/>
      <c r="B38" s="2677"/>
      <c r="C38" s="2678"/>
      <c r="D38" s="1999"/>
      <c r="E38" s="2012"/>
      <c r="F38" s="2015"/>
      <c r="G38" s="2015"/>
      <c r="H38" s="2018"/>
      <c r="I38" s="1999"/>
      <c r="J38" s="1104" t="s">
        <v>53</v>
      </c>
      <c r="K38" s="1101" t="str">
        <f>VLOOKUP("Mode",Data!$A$2567:$K$2572,2,FALSE)</f>
        <v>NON</v>
      </c>
      <c r="L38" s="1073" t="str">
        <f>VLOOKUP("Mode",Data!$A$2567:$K$2572,3,FALSE)</f>
        <v>NON</v>
      </c>
      <c r="M38" s="1073" t="str">
        <f>VLOOKUP("Mode",Data!$A$2567:$K$2572,4,FALSE)</f>
        <v>NON</v>
      </c>
      <c r="N38" s="1073" t="str">
        <f>VLOOKUP("Mode",Data!$A$2567:$K$2572,5,FALSE)</f>
        <v>NON</v>
      </c>
      <c r="O38" s="1073" t="str">
        <f>VLOOKUP("Mode",Data!$A$2567:$K$2572,6,FALSE)</f>
        <v>NON</v>
      </c>
      <c r="P38" s="1073" t="str">
        <f>VLOOKUP("Mode",Data!$A$2567:$K$2572,7,FALSE)</f>
        <v>NON</v>
      </c>
      <c r="Q38" s="1073" t="str">
        <f>VLOOKUP("Mode",Data!$A$2567:$K$2572,8,FALSE)</f>
        <v>NON</v>
      </c>
      <c r="R38" s="1073" t="str">
        <f>VLOOKUP("Mode",Data!$A$2567:$K$2572,9,FALSE)</f>
        <v>NON</v>
      </c>
      <c r="S38" s="1073" t="str">
        <f>VLOOKUP("Mode",Data!$A$2567:$K$2572,10,FALSE)</f>
        <v>NON</v>
      </c>
      <c r="T38" s="1088" t="str">
        <f>VLOOKUP("Mode",Data!$A$2567:$K$2572,11,FALSE)</f>
        <v>NON</v>
      </c>
      <c r="U38" s="1999"/>
      <c r="V38" s="2021"/>
      <c r="W38" s="1987"/>
      <c r="X38" s="1990"/>
      <c r="Y38" s="1993"/>
      <c r="Z38" s="1984"/>
      <c r="AA38" s="1984"/>
      <c r="AB38" s="1996"/>
      <c r="AC38" s="2021"/>
      <c r="AD38" s="2024"/>
      <c r="AE38" s="1984"/>
      <c r="AF38" s="1984"/>
      <c r="AG38" s="1987"/>
      <c r="AH38" s="1987"/>
      <c r="AI38" s="1996"/>
    </row>
    <row r="39" spans="1:35" ht="12.75" customHeight="1">
      <c r="A39" s="1806"/>
      <c r="B39" s="2677"/>
      <c r="C39" s="2678"/>
      <c r="D39" s="1997">
        <v>32</v>
      </c>
      <c r="E39" s="2000">
        <f>VLOOKUP("Cycle Time",Data!$A:$AY,33,FALSE)</f>
        <v>0</v>
      </c>
      <c r="F39" s="2003">
        <f>VLOOKUP("Offset Time",Data!$A:$AY,33,FALSE)</f>
        <v>0</v>
      </c>
      <c r="G39" s="2003">
        <f>VLOOKUP("Split Number",Data!$A:$AY,33,FALSE)</f>
        <v>0</v>
      </c>
      <c r="H39" s="2006">
        <f>VLOOKUP("Seq Number",Data!$A:$AY,33,FALSE)</f>
        <v>1</v>
      </c>
      <c r="I39" s="1997">
        <v>32</v>
      </c>
      <c r="J39" s="1105" t="s">
        <v>216</v>
      </c>
      <c r="K39" s="1097">
        <f>VLOOKUP("Time",Data!$A$2573:$K$2578,2,FALSE)</f>
        <v>0</v>
      </c>
      <c r="L39" s="1074">
        <f>VLOOKUP("Time",Data!$A$2573:$K$2578,3,FALSE)</f>
        <v>0</v>
      </c>
      <c r="M39" s="1074">
        <f>VLOOKUP("Time",Data!$A$2573:$K$2578,4,FALSE)</f>
        <v>0</v>
      </c>
      <c r="N39" s="1074">
        <f>VLOOKUP("Time",Data!$A$2573:$K$2578,5,FALSE)</f>
        <v>0</v>
      </c>
      <c r="O39" s="1074">
        <f>VLOOKUP("Time",Data!$A$2573:$K$2578,6,FALSE)</f>
        <v>0</v>
      </c>
      <c r="P39" s="1074">
        <f>VLOOKUP("Time",Data!$A$2573:$K$2578,7,FALSE)</f>
        <v>0</v>
      </c>
      <c r="Q39" s="1074">
        <f>VLOOKUP("Time",Data!$A$2573:$K$2578,8,FALSE)</f>
        <v>0</v>
      </c>
      <c r="R39" s="1074">
        <f>VLOOKUP("Time",Data!$A$2573:$K$2578,9,FALSE)</f>
        <v>0</v>
      </c>
      <c r="S39" s="1074">
        <f>VLOOKUP("Time",Data!$A$2573:$K$2578,10,FALSE)</f>
        <v>0</v>
      </c>
      <c r="T39" s="1084">
        <f>VLOOKUP("Time",Data!$A$2573:$K$2578,11,FALSE)</f>
        <v>0</v>
      </c>
      <c r="U39" s="1997">
        <v>32</v>
      </c>
      <c r="V39" s="1979">
        <f>VLOOKUP("Short",Data!$A$1249:$AG$1283,33,FALSE)</f>
        <v>0</v>
      </c>
      <c r="W39" s="1738">
        <f>VLOOKUP("Long",Data!$A$1249:$AG$1283,33,FALSE)</f>
        <v>17</v>
      </c>
      <c r="X39" s="1973">
        <f>VLOOKUP("Dwell",Data!$A$1249:$AG$1283,33,FALSE)</f>
        <v>0</v>
      </c>
      <c r="Y39" s="1976">
        <f>VLOOKUP("No Short P 1",Data!$A$1249:$AG$1283,33,FALSE)</f>
        <v>0</v>
      </c>
      <c r="Z39" s="1967">
        <f>VLOOKUP("No Short P 2",Data!$A$1249:$AG$1283,33,FALSE)</f>
        <v>0</v>
      </c>
      <c r="AA39" s="1967">
        <f>VLOOKUP("No Short P 3",Data!$A$1249:$AG$1283,33,FALSE)</f>
        <v>0</v>
      </c>
      <c r="AB39" s="1970">
        <f>VLOOKUP("No Short P 4",Data!$A$1249:$AG$1283,33,FALSE)</f>
        <v>0</v>
      </c>
      <c r="AC39" s="1979">
        <f>VLOOKUP("Early Yield",Data!$A$1249:$AG$1283,33,FALSE)</f>
        <v>0</v>
      </c>
      <c r="AD39" s="1789" t="str">
        <f>VLOOKUP("Offset",Data!$A$1249:$AG$1283,33,FALSE)</f>
        <v>BegGRN</v>
      </c>
      <c r="AE39" s="1967" t="str">
        <f>IF(VLOOKUP("Ret Hold",Data!$A$1249:$AG$1283,33,FALSE)= "On", "X", "-")</f>
        <v>-</v>
      </c>
      <c r="AF39" s="1967" t="str">
        <f>IF(VLOOKUP("Float",Data!$A$1249:$AG$1283,33,FALSE)= "On", "X", "-")</f>
        <v>-</v>
      </c>
      <c r="AG39" s="1738" t="str">
        <f>IF(VLOOKUP("Min Veh Perm",Data!$A$1249:$AG$1283,33,FALSE)= "ON", "X", "-")</f>
        <v>-</v>
      </c>
      <c r="AH39" s="1738" t="str">
        <f>IF(VLOOKUP("Min Ped Perm",Data!$A$1249:$AG$1283,33,FALSE)= "ON", "X", "-")</f>
        <v>-</v>
      </c>
      <c r="AI39" s="1970" t="str">
        <f>VLOOKUP("MI",Data!$A$1249:$AG$1283,33,FALSE)</f>
        <v>OFF</v>
      </c>
    </row>
    <row r="40" spans="1:35" ht="12.75" customHeight="1">
      <c r="A40" s="1806"/>
      <c r="B40" s="2677"/>
      <c r="C40" s="2678"/>
      <c r="D40" s="1998"/>
      <c r="E40" s="2001"/>
      <c r="F40" s="2004"/>
      <c r="G40" s="2004"/>
      <c r="H40" s="2007"/>
      <c r="I40" s="1998"/>
      <c r="J40" s="1103" t="s">
        <v>646</v>
      </c>
      <c r="K40" s="1098" t="str">
        <f>IF(VLOOKUP("Coord Phase",Data!$A$2573:$K$2578,2,FALSE)="On", "X", " ")</f>
        <v xml:space="preserve"> </v>
      </c>
      <c r="L40" s="1075" t="str">
        <f>IF(VLOOKUP("Coord Phase",Data!$A$2573:$K$2578,3,FALSE)="On", "X", " ")</f>
        <v xml:space="preserve"> </v>
      </c>
      <c r="M40" s="1075" t="str">
        <f>IF(VLOOKUP("Coord Phase",Data!$A$2573:$K$2578,4,FALSE)="On", "X", " ")</f>
        <v xml:space="preserve"> </v>
      </c>
      <c r="N40" s="1075" t="str">
        <f>IF(VLOOKUP("Coord Phase",Data!$A$2573:$K$2578,5,FALSE)="On", "X", " ")</f>
        <v xml:space="preserve"> </v>
      </c>
      <c r="O40" s="1075" t="str">
        <f>IF(VLOOKUP("Coord Phase",Data!$A$2573:$K$2578,6,FALSE)="On", "X", " ")</f>
        <v xml:space="preserve"> </v>
      </c>
      <c r="P40" s="1075" t="str">
        <f>IF(VLOOKUP("Coord Phase",Data!$A$2573:$K$2578,7,FALSE)="On", "X", " ")</f>
        <v xml:space="preserve"> </v>
      </c>
      <c r="Q40" s="1075" t="str">
        <f>IF(VLOOKUP("Coord Phase",Data!$A$2573:$K$2578,8,FALSE)="On", "X", " ")</f>
        <v xml:space="preserve"> </v>
      </c>
      <c r="R40" s="1075" t="str">
        <f>IF(VLOOKUP("Coord Phase",Data!$A$2573:$K$2578,9,FALSE)="On", "X", " ")</f>
        <v xml:space="preserve"> </v>
      </c>
      <c r="S40" s="1075" t="str">
        <f>IF(VLOOKUP("Coord Phase",Data!$A$2573:$K$2578,10,FALSE)="On", "X", " ")</f>
        <v xml:space="preserve"> </v>
      </c>
      <c r="T40" s="1085" t="str">
        <f>IF(VLOOKUP("Coord Phase",Data!$A$2573:$K$2578,11,FALSE)="On", "X", " ")</f>
        <v xml:space="preserve"> </v>
      </c>
      <c r="U40" s="1998"/>
      <c r="V40" s="1980"/>
      <c r="W40" s="1712"/>
      <c r="X40" s="1974"/>
      <c r="Y40" s="1977"/>
      <c r="Z40" s="1968"/>
      <c r="AA40" s="1968"/>
      <c r="AB40" s="1971"/>
      <c r="AC40" s="1980"/>
      <c r="AD40" s="1736"/>
      <c r="AE40" s="1968"/>
      <c r="AF40" s="1968"/>
      <c r="AG40" s="1712"/>
      <c r="AH40" s="1712"/>
      <c r="AI40" s="1971"/>
    </row>
    <row r="41" spans="1:35" ht="13.5" customHeight="1" thickBot="1">
      <c r="A41" s="1806"/>
      <c r="B41" s="2677"/>
      <c r="C41" s="2678"/>
      <c r="D41" s="1999"/>
      <c r="E41" s="2002"/>
      <c r="F41" s="2005"/>
      <c r="G41" s="2005"/>
      <c r="H41" s="2008"/>
      <c r="I41" s="1999"/>
      <c r="J41" s="1106" t="s">
        <v>53</v>
      </c>
      <c r="K41" s="1099" t="str">
        <f>VLOOKUP("Mode",Data!$A$2573:$K$2578,2,FALSE)</f>
        <v>NON</v>
      </c>
      <c r="L41" s="1076" t="str">
        <f>VLOOKUP("Mode",Data!$A$2573:$K$2578,3,FALSE)</f>
        <v>NON</v>
      </c>
      <c r="M41" s="1076" t="str">
        <f>VLOOKUP("Mode",Data!$A$2573:$K$2578,4,FALSE)</f>
        <v>NON</v>
      </c>
      <c r="N41" s="1076" t="str">
        <f>VLOOKUP("Mode",Data!$A$2573:$K$2578,5,FALSE)</f>
        <v>NON</v>
      </c>
      <c r="O41" s="1076" t="str">
        <f>VLOOKUP("Mode",Data!$A$2573:$K$2578,6,FALSE)</f>
        <v>NON</v>
      </c>
      <c r="P41" s="1076" t="str">
        <f>VLOOKUP("Mode",Data!$A$2573:$K$2578,7,FALSE)</f>
        <v>NON</v>
      </c>
      <c r="Q41" s="1076" t="str">
        <f>VLOOKUP("Mode",Data!$A$2573:$K$2578,8,FALSE)</f>
        <v>NON</v>
      </c>
      <c r="R41" s="1076" t="str">
        <f>VLOOKUP("Mode",Data!$A$2573:$K$2578,9,FALSE)</f>
        <v>NON</v>
      </c>
      <c r="S41" s="1076" t="str">
        <f>VLOOKUP("Mode",Data!$A$2573:$K$2578,10,FALSE)</f>
        <v>NON</v>
      </c>
      <c r="T41" s="1086" t="str">
        <f>VLOOKUP("Mode",Data!$A$2573:$K$2578,11,FALSE)</f>
        <v>NON</v>
      </c>
      <c r="U41" s="1999"/>
      <c r="V41" s="1981"/>
      <c r="W41" s="1713"/>
      <c r="X41" s="1975"/>
      <c r="Y41" s="1978"/>
      <c r="Z41" s="1969"/>
      <c r="AA41" s="1969"/>
      <c r="AB41" s="1972"/>
      <c r="AC41" s="1981"/>
      <c r="AD41" s="1737"/>
      <c r="AE41" s="1969"/>
      <c r="AF41" s="1969"/>
      <c r="AG41" s="1713"/>
      <c r="AH41" s="1713"/>
      <c r="AI41" s="1972"/>
    </row>
    <row r="42" spans="1:35" ht="12.75" customHeight="1">
      <c r="A42" s="1932">
        <f>Data!B118</f>
        <v>0</v>
      </c>
      <c r="B42" s="2677"/>
      <c r="C42" s="2678"/>
      <c r="D42" s="2044" t="s">
        <v>3958</v>
      </c>
      <c r="E42" s="2045"/>
      <c r="F42" s="2045"/>
      <c r="G42" s="2045"/>
      <c r="H42" s="2045"/>
      <c r="I42" s="2045"/>
      <c r="J42" s="2045"/>
      <c r="K42" s="2045"/>
      <c r="L42" s="2045"/>
      <c r="M42" s="2045"/>
      <c r="N42" s="2045"/>
      <c r="O42" s="2045"/>
      <c r="P42" s="2045"/>
      <c r="Q42" s="2045"/>
      <c r="R42" s="2045"/>
      <c r="S42" s="2045"/>
      <c r="T42" s="2045"/>
      <c r="U42" s="2045"/>
      <c r="V42" s="2045"/>
      <c r="W42" s="2045"/>
      <c r="X42" s="2045"/>
      <c r="Y42" s="2045"/>
      <c r="Z42" s="2045"/>
      <c r="AA42" s="2045"/>
      <c r="AB42" s="2045"/>
      <c r="AC42" s="2045"/>
      <c r="AD42" s="2045"/>
      <c r="AE42" s="2045"/>
      <c r="AF42" s="2045"/>
      <c r="AG42" s="2045"/>
      <c r="AH42" s="2045"/>
      <c r="AI42" s="2046"/>
    </row>
    <row r="43" spans="1:35" ht="12.75" customHeight="1">
      <c r="A43" s="1933"/>
      <c r="B43" s="2677"/>
      <c r="C43" s="2678"/>
      <c r="D43" s="1935"/>
      <c r="E43" s="1936"/>
      <c r="F43" s="1936"/>
      <c r="G43" s="1936"/>
      <c r="H43" s="1936"/>
      <c r="I43" s="1936"/>
      <c r="J43" s="1936"/>
      <c r="K43" s="1936"/>
      <c r="L43" s="1936"/>
      <c r="M43" s="1936"/>
      <c r="N43" s="1936"/>
      <c r="O43" s="1936"/>
      <c r="P43" s="1936"/>
      <c r="Q43" s="1936"/>
      <c r="R43" s="1936"/>
      <c r="S43" s="1936"/>
      <c r="T43" s="1936"/>
      <c r="U43" s="1936"/>
      <c r="V43" s="1936"/>
      <c r="W43" s="1936"/>
      <c r="X43" s="1936"/>
      <c r="Y43" s="1936"/>
      <c r="Z43" s="1936"/>
      <c r="AA43" s="1936"/>
      <c r="AB43" s="1936"/>
      <c r="AC43" s="1936"/>
      <c r="AD43" s="1936"/>
      <c r="AE43" s="1936"/>
      <c r="AF43" s="1936"/>
      <c r="AG43" s="1936"/>
      <c r="AH43" s="1936"/>
      <c r="AI43" s="1937"/>
    </row>
    <row r="44" spans="1:35" ht="12.75" customHeight="1">
      <c r="A44" s="1933"/>
      <c r="B44" s="2677"/>
      <c r="C44" s="2678"/>
      <c r="D44" s="1935"/>
      <c r="E44" s="1936"/>
      <c r="F44" s="1936"/>
      <c r="G44" s="1936"/>
      <c r="H44" s="1936"/>
      <c r="I44" s="1936"/>
      <c r="J44" s="1936"/>
      <c r="K44" s="1936"/>
      <c r="L44" s="1936"/>
      <c r="M44" s="1936"/>
      <c r="N44" s="1936"/>
      <c r="O44" s="1936"/>
      <c r="P44" s="1936"/>
      <c r="Q44" s="1936"/>
      <c r="R44" s="1936"/>
      <c r="S44" s="1936"/>
      <c r="T44" s="1936"/>
      <c r="U44" s="1936"/>
      <c r="V44" s="1936"/>
      <c r="W44" s="1936"/>
      <c r="X44" s="1936"/>
      <c r="Y44" s="1936"/>
      <c r="Z44" s="1936"/>
      <c r="AA44" s="1936"/>
      <c r="AB44" s="1936"/>
      <c r="AC44" s="1936"/>
      <c r="AD44" s="1936"/>
      <c r="AE44" s="1936"/>
      <c r="AF44" s="1936"/>
      <c r="AG44" s="1936"/>
      <c r="AH44" s="1936"/>
      <c r="AI44" s="1937"/>
    </row>
    <row r="45" spans="1:35" ht="12.75" customHeight="1">
      <c r="A45" s="1933"/>
      <c r="B45" s="2677"/>
      <c r="C45" s="2678"/>
      <c r="D45" s="1935"/>
      <c r="E45" s="1936"/>
      <c r="F45" s="1936"/>
      <c r="G45" s="1936"/>
      <c r="H45" s="1936"/>
      <c r="I45" s="1936"/>
      <c r="J45" s="1936"/>
      <c r="K45" s="1936"/>
      <c r="L45" s="1936"/>
      <c r="M45" s="1936"/>
      <c r="N45" s="1936"/>
      <c r="O45" s="1936"/>
      <c r="P45" s="1936"/>
      <c r="Q45" s="1936"/>
      <c r="R45" s="1936"/>
      <c r="S45" s="1936"/>
      <c r="T45" s="1936"/>
      <c r="U45" s="1936"/>
      <c r="V45" s="1936"/>
      <c r="W45" s="1936"/>
      <c r="X45" s="1936"/>
      <c r="Y45" s="1936"/>
      <c r="Z45" s="1936"/>
      <c r="AA45" s="1936"/>
      <c r="AB45" s="1936"/>
      <c r="AC45" s="1936"/>
      <c r="AD45" s="1936"/>
      <c r="AE45" s="1936"/>
      <c r="AF45" s="1936"/>
      <c r="AG45" s="1936"/>
      <c r="AH45" s="1936"/>
      <c r="AI45" s="1937"/>
    </row>
    <row r="46" spans="1:35" ht="12.75" customHeight="1">
      <c r="A46" s="1930" t="s">
        <v>654</v>
      </c>
      <c r="B46" s="2677"/>
      <c r="C46" s="2678"/>
      <c r="D46" s="1935"/>
      <c r="E46" s="1936"/>
      <c r="F46" s="1936"/>
      <c r="G46" s="1936"/>
      <c r="H46" s="1936"/>
      <c r="I46" s="1936"/>
      <c r="J46" s="1936"/>
      <c r="K46" s="1936"/>
      <c r="L46" s="1936"/>
      <c r="M46" s="1936"/>
      <c r="N46" s="1936"/>
      <c r="O46" s="1936"/>
      <c r="P46" s="1936"/>
      <c r="Q46" s="1936"/>
      <c r="R46" s="1936"/>
      <c r="S46" s="1936"/>
      <c r="T46" s="1936"/>
      <c r="U46" s="1936"/>
      <c r="V46" s="1936"/>
      <c r="W46" s="1936"/>
      <c r="X46" s="1936"/>
      <c r="Y46" s="1936"/>
      <c r="Z46" s="1936"/>
      <c r="AA46" s="1936"/>
      <c r="AB46" s="1936"/>
      <c r="AC46" s="1936"/>
      <c r="AD46" s="1936"/>
      <c r="AE46" s="1936"/>
      <c r="AF46" s="1936"/>
      <c r="AG46" s="1936"/>
      <c r="AH46" s="1936"/>
      <c r="AI46" s="1937"/>
    </row>
    <row r="47" spans="1:35" ht="12.75" customHeight="1">
      <c r="A47" s="1930"/>
      <c r="B47" s="2677"/>
      <c r="C47" s="2678"/>
      <c r="D47" s="1935"/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7"/>
    </row>
    <row r="48" spans="1:35" ht="13.5" customHeight="1" thickBot="1">
      <c r="A48" s="1931"/>
      <c r="B48" s="2679"/>
      <c r="C48" s="2680"/>
      <c r="D48" s="1935"/>
      <c r="E48" s="1936"/>
      <c r="F48" s="1936"/>
      <c r="G48" s="1936"/>
      <c r="H48" s="1936"/>
      <c r="I48" s="1936"/>
      <c r="J48" s="1936"/>
      <c r="K48" s="1936"/>
      <c r="L48" s="1936"/>
      <c r="M48" s="1936"/>
      <c r="N48" s="1936"/>
      <c r="O48" s="1936"/>
      <c r="P48" s="1936"/>
      <c r="Q48" s="1936"/>
      <c r="R48" s="1936"/>
      <c r="S48" s="1936"/>
      <c r="T48" s="1936"/>
      <c r="U48" s="1936"/>
      <c r="V48" s="1936"/>
      <c r="W48" s="1936"/>
      <c r="X48" s="1936"/>
      <c r="Y48" s="1936"/>
      <c r="Z48" s="1936"/>
      <c r="AA48" s="1936"/>
      <c r="AB48" s="1936"/>
      <c r="AC48" s="1936"/>
      <c r="AD48" s="1936"/>
      <c r="AE48" s="1936"/>
      <c r="AF48" s="1936"/>
      <c r="AG48" s="1936"/>
      <c r="AH48" s="1936"/>
      <c r="AI48" s="1937"/>
    </row>
    <row r="49" spans="1:35" ht="13.5" customHeight="1">
      <c r="A49" s="1941" t="s">
        <v>209</v>
      </c>
      <c r="B49" s="1942"/>
      <c r="C49" s="1943"/>
      <c r="D49" s="1935"/>
      <c r="E49" s="1936"/>
      <c r="F49" s="1936"/>
      <c r="G49" s="1936"/>
      <c r="H49" s="1936"/>
      <c r="I49" s="1936"/>
      <c r="J49" s="1936"/>
      <c r="K49" s="1936"/>
      <c r="L49" s="1936"/>
      <c r="M49" s="1936"/>
      <c r="N49" s="1936"/>
      <c r="O49" s="1936"/>
      <c r="P49" s="1936"/>
      <c r="Q49" s="1936"/>
      <c r="R49" s="1936"/>
      <c r="S49" s="1936"/>
      <c r="T49" s="1936"/>
      <c r="U49" s="1936"/>
      <c r="V49" s="1936"/>
      <c r="W49" s="1936"/>
      <c r="X49" s="1936"/>
      <c r="Y49" s="1936"/>
      <c r="Z49" s="1936"/>
      <c r="AA49" s="1936"/>
      <c r="AB49" s="1936"/>
      <c r="AC49" s="1936"/>
      <c r="AD49" s="1936"/>
      <c r="AE49" s="1936"/>
      <c r="AF49" s="1936"/>
      <c r="AG49" s="1936"/>
      <c r="AH49" s="1936"/>
      <c r="AI49" s="1937"/>
    </row>
    <row r="50" spans="1:35" ht="13.5" customHeight="1" thickBot="1">
      <c r="A50" s="1944">
        <f ca="1">TODAY()</f>
        <v>45364</v>
      </c>
      <c r="B50" s="1945"/>
      <c r="C50" s="1946"/>
      <c r="D50" s="1938"/>
      <c r="E50" s="1939"/>
      <c r="F50" s="1939"/>
      <c r="G50" s="1939"/>
      <c r="H50" s="1939"/>
      <c r="I50" s="1939"/>
      <c r="J50" s="1939"/>
      <c r="K50" s="1939"/>
      <c r="L50" s="1939"/>
      <c r="M50" s="1939"/>
      <c r="N50" s="1939"/>
      <c r="O50" s="1939"/>
      <c r="P50" s="1939"/>
      <c r="Q50" s="1939"/>
      <c r="R50" s="1939"/>
      <c r="S50" s="1939"/>
      <c r="T50" s="1939"/>
      <c r="U50" s="1939"/>
      <c r="V50" s="1939"/>
      <c r="W50" s="1939"/>
      <c r="X50" s="1939"/>
      <c r="Y50" s="1939"/>
      <c r="Z50" s="1939"/>
      <c r="AA50" s="1939"/>
      <c r="AB50" s="1939"/>
      <c r="AC50" s="1939"/>
      <c r="AD50" s="1939"/>
      <c r="AE50" s="1939"/>
      <c r="AF50" s="1939"/>
      <c r="AG50" s="1939"/>
      <c r="AH50" s="1939"/>
      <c r="AI50" s="1940"/>
    </row>
    <row r="51" spans="1:35">
      <c r="A51" t="s">
        <v>1071</v>
      </c>
      <c r="D51"/>
      <c r="I51"/>
      <c r="U51"/>
    </row>
    <row r="52" spans="1:35">
      <c r="D52"/>
      <c r="I52"/>
      <c r="U52"/>
    </row>
    <row r="53" spans="1:35">
      <c r="D53"/>
      <c r="I53"/>
      <c r="U53"/>
      <c r="AH53" s="572" t="s">
        <v>635</v>
      </c>
    </row>
    <row r="54" spans="1:35">
      <c r="D54"/>
      <c r="I54"/>
      <c r="U54"/>
    </row>
    <row r="55" spans="1:35">
      <c r="D55"/>
      <c r="I55"/>
      <c r="U55"/>
    </row>
    <row r="56" spans="1:35">
      <c r="D56"/>
      <c r="I56"/>
      <c r="U56"/>
    </row>
    <row r="57" spans="1:35">
      <c r="D57"/>
      <c r="I57"/>
      <c r="U57"/>
    </row>
    <row r="58" spans="1:35">
      <c r="D58"/>
      <c r="I58"/>
      <c r="U58"/>
    </row>
    <row r="59" spans="1:35">
      <c r="D59"/>
      <c r="I59"/>
      <c r="U59"/>
    </row>
    <row r="60" spans="1:35">
      <c r="D60"/>
      <c r="I60"/>
      <c r="U60"/>
    </row>
    <row r="61" spans="1:35">
      <c r="D61"/>
      <c r="I61"/>
      <c r="U61"/>
    </row>
    <row r="62" spans="1:35">
      <c r="D62"/>
      <c r="I62"/>
      <c r="U62"/>
    </row>
    <row r="63" spans="1:35">
      <c r="D63"/>
      <c r="I63"/>
      <c r="U63"/>
    </row>
    <row r="64" spans="1:35">
      <c r="D64"/>
      <c r="I64"/>
      <c r="U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</sheetData>
  <mergeCells count="303">
    <mergeCell ref="A1:C2"/>
    <mergeCell ref="D1:H1"/>
    <mergeCell ref="Y2:AB2"/>
    <mergeCell ref="B3:C3"/>
    <mergeCell ref="D3:D5"/>
    <mergeCell ref="E3:E5"/>
    <mergeCell ref="F3:F5"/>
    <mergeCell ref="G3:G5"/>
    <mergeCell ref="H3:H5"/>
    <mergeCell ref="I1:T1"/>
    <mergeCell ref="E6:E8"/>
    <mergeCell ref="F6:F8"/>
    <mergeCell ref="G6:G8"/>
    <mergeCell ref="H6:H8"/>
    <mergeCell ref="AF3:AF5"/>
    <mergeCell ref="AG3:AG5"/>
    <mergeCell ref="AH3:AH5"/>
    <mergeCell ref="AI3:AI5"/>
    <mergeCell ref="B4:C4"/>
    <mergeCell ref="B5:C5"/>
    <mergeCell ref="Z3:Z5"/>
    <mergeCell ref="AA3:AA5"/>
    <mergeCell ref="AB3:AB5"/>
    <mergeCell ref="AC3:AC5"/>
    <mergeCell ref="AD3:AD5"/>
    <mergeCell ref="AE3:AE5"/>
    <mergeCell ref="I3:I5"/>
    <mergeCell ref="U3:U5"/>
    <mergeCell ref="V3:V5"/>
    <mergeCell ref="W3:W5"/>
    <mergeCell ref="X3:X5"/>
    <mergeCell ref="Y3:Y5"/>
    <mergeCell ref="E9:E11"/>
    <mergeCell ref="F9:F11"/>
    <mergeCell ref="G9:G11"/>
    <mergeCell ref="H9:H11"/>
    <mergeCell ref="AF6:AF8"/>
    <mergeCell ref="AG6:AG8"/>
    <mergeCell ref="AH6:AH8"/>
    <mergeCell ref="AI6:AI8"/>
    <mergeCell ref="B7:C7"/>
    <mergeCell ref="A8:C8"/>
    <mergeCell ref="Z6:Z8"/>
    <mergeCell ref="AA6:AA8"/>
    <mergeCell ref="AB6:AB8"/>
    <mergeCell ref="AC6:AC8"/>
    <mergeCell ref="AD6:AD8"/>
    <mergeCell ref="AE6:AE8"/>
    <mergeCell ref="I6:I8"/>
    <mergeCell ref="U6:U8"/>
    <mergeCell ref="V6:V8"/>
    <mergeCell ref="W6:W8"/>
    <mergeCell ref="X6:X8"/>
    <mergeCell ref="Y6:Y8"/>
    <mergeCell ref="B6:C6"/>
    <mergeCell ref="D6:D8"/>
    <mergeCell ref="E12:E14"/>
    <mergeCell ref="F12:F14"/>
    <mergeCell ref="G12:G14"/>
    <mergeCell ref="H12:H14"/>
    <mergeCell ref="AF9:AF11"/>
    <mergeCell ref="AG9:AG11"/>
    <mergeCell ref="AH9:AH11"/>
    <mergeCell ref="AI9:AI11"/>
    <mergeCell ref="B10:C10"/>
    <mergeCell ref="B11:C11"/>
    <mergeCell ref="Z9:Z11"/>
    <mergeCell ref="AA9:AA11"/>
    <mergeCell ref="AB9:AB11"/>
    <mergeCell ref="AC9:AC11"/>
    <mergeCell ref="AD9:AD11"/>
    <mergeCell ref="AE9:AE11"/>
    <mergeCell ref="I9:I11"/>
    <mergeCell ref="U9:U11"/>
    <mergeCell ref="V9:V11"/>
    <mergeCell ref="W9:W11"/>
    <mergeCell ref="X9:X11"/>
    <mergeCell ref="Y9:Y11"/>
    <mergeCell ref="B9:C9"/>
    <mergeCell ref="D9:D11"/>
    <mergeCell ref="E15:E17"/>
    <mergeCell ref="F15:F17"/>
    <mergeCell ref="G15:G17"/>
    <mergeCell ref="H15:H17"/>
    <mergeCell ref="AF12:AF14"/>
    <mergeCell ref="AG12:AG14"/>
    <mergeCell ref="AH12:AH14"/>
    <mergeCell ref="AI12:AI14"/>
    <mergeCell ref="B13:C13"/>
    <mergeCell ref="B14:C14"/>
    <mergeCell ref="Z12:Z14"/>
    <mergeCell ref="AA12:AA14"/>
    <mergeCell ref="AB12:AB14"/>
    <mergeCell ref="AC12:AC14"/>
    <mergeCell ref="AD12:AD14"/>
    <mergeCell ref="AE12:AE14"/>
    <mergeCell ref="I12:I14"/>
    <mergeCell ref="U12:U14"/>
    <mergeCell ref="V12:V14"/>
    <mergeCell ref="W12:W14"/>
    <mergeCell ref="X12:X14"/>
    <mergeCell ref="Y12:Y14"/>
    <mergeCell ref="B12:C12"/>
    <mergeCell ref="D12:D14"/>
    <mergeCell ref="F18:F20"/>
    <mergeCell ref="G18:G20"/>
    <mergeCell ref="H18:H20"/>
    <mergeCell ref="I18:I20"/>
    <mergeCell ref="AF15:AF17"/>
    <mergeCell ref="AG15:AG17"/>
    <mergeCell ref="AH15:AH17"/>
    <mergeCell ref="AI15:AI17"/>
    <mergeCell ref="B16:C16"/>
    <mergeCell ref="B17:C17"/>
    <mergeCell ref="Z15:Z17"/>
    <mergeCell ref="AA15:AA17"/>
    <mergeCell ref="AB15:AB17"/>
    <mergeCell ref="AC15:AC17"/>
    <mergeCell ref="AD15:AD17"/>
    <mergeCell ref="AE15:AE17"/>
    <mergeCell ref="I15:I17"/>
    <mergeCell ref="U15:U17"/>
    <mergeCell ref="V15:V17"/>
    <mergeCell ref="W15:W17"/>
    <mergeCell ref="X15:X17"/>
    <mergeCell ref="Y15:Y17"/>
    <mergeCell ref="B15:C15"/>
    <mergeCell ref="D15:D17"/>
    <mergeCell ref="AG18:AG20"/>
    <mergeCell ref="AH18:AH20"/>
    <mergeCell ref="AI18:AI20"/>
    <mergeCell ref="A19:C19"/>
    <mergeCell ref="B20:C20"/>
    <mergeCell ref="B21:C21"/>
    <mergeCell ref="D21:D23"/>
    <mergeCell ref="E21:E23"/>
    <mergeCell ref="F21:F23"/>
    <mergeCell ref="G21:G23"/>
    <mergeCell ref="AA18:AA20"/>
    <mergeCell ref="AB18:AB20"/>
    <mergeCell ref="AC18:AC20"/>
    <mergeCell ref="AD18:AD20"/>
    <mergeCell ref="AE18:AE20"/>
    <mergeCell ref="AF18:AF20"/>
    <mergeCell ref="U18:U20"/>
    <mergeCell ref="V18:V20"/>
    <mergeCell ref="W18:W20"/>
    <mergeCell ref="X18:X20"/>
    <mergeCell ref="Y18:Y20"/>
    <mergeCell ref="Z18:Z20"/>
    <mergeCell ref="D18:D20"/>
    <mergeCell ref="E18:E20"/>
    <mergeCell ref="AE21:AE23"/>
    <mergeCell ref="AF21:AF23"/>
    <mergeCell ref="AG21:AG23"/>
    <mergeCell ref="AH21:AH23"/>
    <mergeCell ref="AI21:AI23"/>
    <mergeCell ref="A22:A35"/>
    <mergeCell ref="B22:C48"/>
    <mergeCell ref="D24:D26"/>
    <mergeCell ref="E24:E26"/>
    <mergeCell ref="F24:F26"/>
    <mergeCell ref="Y21:Y23"/>
    <mergeCell ref="Z21:Z23"/>
    <mergeCell ref="AA21:AA23"/>
    <mergeCell ref="AB21:AB23"/>
    <mergeCell ref="AC21:AC23"/>
    <mergeCell ref="AD21:AD23"/>
    <mergeCell ref="H21:H23"/>
    <mergeCell ref="I21:I23"/>
    <mergeCell ref="U21:U23"/>
    <mergeCell ref="V21:V23"/>
    <mergeCell ref="W21:W23"/>
    <mergeCell ref="X21:X23"/>
    <mergeCell ref="AE24:AE26"/>
    <mergeCell ref="AF24:AF26"/>
    <mergeCell ref="AG24:AG26"/>
    <mergeCell ref="AH24:AH26"/>
    <mergeCell ref="AI24:AI26"/>
    <mergeCell ref="X24:X26"/>
    <mergeCell ref="Y24:Y26"/>
    <mergeCell ref="Z24:Z26"/>
    <mergeCell ref="AA24:AA26"/>
    <mergeCell ref="AB24:AB26"/>
    <mergeCell ref="AC24:AC26"/>
    <mergeCell ref="Y27:Y29"/>
    <mergeCell ref="Z27:Z29"/>
    <mergeCell ref="D27:D29"/>
    <mergeCell ref="E27:E29"/>
    <mergeCell ref="F27:F29"/>
    <mergeCell ref="G27:G29"/>
    <mergeCell ref="H27:H29"/>
    <mergeCell ref="I27:I29"/>
    <mergeCell ref="AD24:AD26"/>
    <mergeCell ref="G24:G26"/>
    <mergeCell ref="H24:H26"/>
    <mergeCell ref="I24:I26"/>
    <mergeCell ref="U24:U26"/>
    <mergeCell ref="V24:V26"/>
    <mergeCell ref="W24:W26"/>
    <mergeCell ref="A36:A41"/>
    <mergeCell ref="A42:A45"/>
    <mergeCell ref="D42:AI50"/>
    <mergeCell ref="A46:A48"/>
    <mergeCell ref="A49:C49"/>
    <mergeCell ref="A50:C50"/>
    <mergeCell ref="U33:U35"/>
    <mergeCell ref="AB30:AB32"/>
    <mergeCell ref="AC30:AC32"/>
    <mergeCell ref="AD30:AD32"/>
    <mergeCell ref="AE30:AE32"/>
    <mergeCell ref="AF30:AF32"/>
    <mergeCell ref="AG30:AG32"/>
    <mergeCell ref="V30:V32"/>
    <mergeCell ref="W30:W32"/>
    <mergeCell ref="X30:X32"/>
    <mergeCell ref="Y30:Y32"/>
    <mergeCell ref="Z30:Z32"/>
    <mergeCell ref="AA30:AA32"/>
    <mergeCell ref="D30:D32"/>
    <mergeCell ref="E30:E32"/>
    <mergeCell ref="F30:F32"/>
    <mergeCell ref="G30:G32"/>
    <mergeCell ref="H30:H32"/>
    <mergeCell ref="D33:D35"/>
    <mergeCell ref="E33:E35"/>
    <mergeCell ref="F33:F35"/>
    <mergeCell ref="G33:G35"/>
    <mergeCell ref="H33:H35"/>
    <mergeCell ref="I33:I35"/>
    <mergeCell ref="AH30:AH32"/>
    <mergeCell ref="AI30:AI32"/>
    <mergeCell ref="AG27:AG29"/>
    <mergeCell ref="AH27:AH29"/>
    <mergeCell ref="AI27:AI29"/>
    <mergeCell ref="I30:I32"/>
    <mergeCell ref="U30:U32"/>
    <mergeCell ref="AA27:AA29"/>
    <mergeCell ref="AB27:AB29"/>
    <mergeCell ref="AC27:AC29"/>
    <mergeCell ref="AD27:AD29"/>
    <mergeCell ref="AE27:AE29"/>
    <mergeCell ref="AF27:AF29"/>
    <mergeCell ref="U27:U29"/>
    <mergeCell ref="V27:V29"/>
    <mergeCell ref="W27:W29"/>
    <mergeCell ref="X27:X29"/>
    <mergeCell ref="AH33:AH35"/>
    <mergeCell ref="AI33:AI35"/>
    <mergeCell ref="D36:D38"/>
    <mergeCell ref="E36:E38"/>
    <mergeCell ref="F36:F38"/>
    <mergeCell ref="G36:G38"/>
    <mergeCell ref="H36:H38"/>
    <mergeCell ref="I36:I38"/>
    <mergeCell ref="U36:U38"/>
    <mergeCell ref="V36:V38"/>
    <mergeCell ref="AB33:AB35"/>
    <mergeCell ref="AC33:AC35"/>
    <mergeCell ref="AD33:AD35"/>
    <mergeCell ref="AE33:AE35"/>
    <mergeCell ref="AF33:AF35"/>
    <mergeCell ref="AG33:AG35"/>
    <mergeCell ref="V33:V35"/>
    <mergeCell ref="W33:W35"/>
    <mergeCell ref="X33:X35"/>
    <mergeCell ref="Y33:Y35"/>
    <mergeCell ref="Z33:Z35"/>
    <mergeCell ref="AA33:AA35"/>
    <mergeCell ref="AI36:AI38"/>
    <mergeCell ref="AC36:AC38"/>
    <mergeCell ref="AD36:AD38"/>
    <mergeCell ref="D39:D41"/>
    <mergeCell ref="E39:E41"/>
    <mergeCell ref="F39:F41"/>
    <mergeCell ref="G39:G41"/>
    <mergeCell ref="H39:H41"/>
    <mergeCell ref="I39:I41"/>
    <mergeCell ref="U39:U41"/>
    <mergeCell ref="V39:V41"/>
    <mergeCell ref="W39:W41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AD39:AD41"/>
    <mergeCell ref="AE39:AE41"/>
    <mergeCell ref="AF39:AF41"/>
    <mergeCell ref="AG39:AG41"/>
    <mergeCell ref="AH39:AH41"/>
    <mergeCell ref="AI39:AI41"/>
    <mergeCell ref="X39:X41"/>
    <mergeCell ref="Y39:Y41"/>
    <mergeCell ref="Z39:Z41"/>
    <mergeCell ref="AA39:AA41"/>
    <mergeCell ref="AB39:AB41"/>
    <mergeCell ref="AC39:AC41"/>
  </mergeCells>
  <conditionalFormatting sqref="D2:H2 AC2 AI2 W2:Y2 AD2:AD4 AG2:AH4 W6:W32 AG6:AH32 AD6:AD32 V6:V7 V9:V10 V12:V13 V15:V16 V18:V19 V21:V22 V24:V25 V27:V28 V30:V31 V2:V4 U2">
    <cfRule type="cellIs" dxfId="49" priority="4" stopIfTrue="1" operator="equal">
      <formula>0</formula>
    </cfRule>
  </conditionalFormatting>
  <conditionalFormatting sqref="W3:W32">
    <cfRule type="cellIs" dxfId="48" priority="3" stopIfTrue="1" operator="equal">
      <formula>0</formula>
    </cfRule>
  </conditionalFormatting>
  <conditionalFormatting sqref="AG33:AH41 AD33:AD41 V33:V34 V36:V37 V39:V40 W33:W41">
    <cfRule type="cellIs" dxfId="47" priority="2" stopIfTrue="1" operator="equal">
      <formula>0</formula>
    </cfRule>
  </conditionalFormatting>
  <conditionalFormatting sqref="W33:W41">
    <cfRule type="cellIs" dxfId="46" priority="1" stopIfTrue="1" operator="equal">
      <formula>0</formula>
    </cfRule>
  </conditionalFormatting>
  <printOptions horizontalCentered="1" verticalCentered="1"/>
  <pageMargins left="0.12" right="0.12" top="0.12" bottom="0.12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</sheetPr>
  <dimension ref="A1:AK123"/>
  <sheetViews>
    <sheetView zoomScaleNormal="100" workbookViewId="0">
      <selection activeCell="AJ21" sqref="AJ21"/>
    </sheetView>
  </sheetViews>
  <sheetFormatPr defaultColWidth="9.109375" defaultRowHeight="13.2"/>
  <cols>
    <col min="1" max="1" width="4.6640625" style="1012" customWidth="1"/>
    <col min="2" max="2" width="4.5546875" style="1010" customWidth="1"/>
    <col min="3" max="5" width="4.6640625" style="1010" customWidth="1"/>
    <col min="6" max="6" width="4.88671875" style="1012" customWidth="1"/>
    <col min="7" max="7" width="5.44140625" style="1010" bestFit="1" customWidth="1"/>
    <col min="8" max="17" width="4.6640625" style="1010" customWidth="1"/>
    <col min="18" max="18" width="4.88671875" style="1012" customWidth="1"/>
    <col min="19" max="20" width="4.6640625" style="1010" customWidth="1"/>
    <col min="21" max="24" width="4.88671875" style="1010" customWidth="1"/>
    <col min="25" max="34" width="4.6640625" style="1010" customWidth="1"/>
    <col min="35" max="16384" width="9.109375" style="1010"/>
  </cols>
  <sheetData>
    <row r="1" spans="1:34" ht="13.8" thickBot="1">
      <c r="A1" s="2157" t="s">
        <v>3932</v>
      </c>
      <c r="B1" s="2158"/>
      <c r="C1" s="2158"/>
      <c r="D1" s="2158"/>
      <c r="E1" s="2158"/>
      <c r="F1" s="2158"/>
      <c r="G1" s="2158"/>
      <c r="H1" s="2158"/>
      <c r="I1" s="2158"/>
      <c r="J1" s="2158"/>
      <c r="K1" s="2158"/>
      <c r="L1" s="2158"/>
      <c r="M1" s="2158"/>
      <c r="N1" s="2158"/>
      <c r="O1" s="2158"/>
      <c r="P1" s="2158"/>
      <c r="Q1" s="2159"/>
      <c r="R1" s="2154" t="s">
        <v>3933</v>
      </c>
      <c r="S1" s="2155"/>
      <c r="T1" s="2155"/>
      <c r="U1" s="2155"/>
      <c r="V1" s="2155"/>
      <c r="W1" s="2155"/>
      <c r="X1" s="2155"/>
      <c r="Y1" s="2155"/>
      <c r="Z1" s="2155"/>
      <c r="AA1" s="2155"/>
      <c r="AB1" s="2155"/>
      <c r="AC1" s="2155"/>
      <c r="AD1" s="2155"/>
      <c r="AE1" s="2155"/>
      <c r="AF1" s="2155"/>
      <c r="AG1" s="2155"/>
      <c r="AH1" s="2156"/>
    </row>
    <row r="2" spans="1:34" ht="18" customHeight="1" thickBot="1">
      <c r="A2" s="1020" t="s">
        <v>214</v>
      </c>
      <c r="B2" s="1021" t="s">
        <v>215</v>
      </c>
      <c r="C2" s="1021" t="s">
        <v>107</v>
      </c>
      <c r="D2" s="1021" t="s">
        <v>216</v>
      </c>
      <c r="E2" s="1022" t="s">
        <v>56</v>
      </c>
      <c r="F2" s="2141" t="s">
        <v>3947</v>
      </c>
      <c r="G2" s="2142"/>
      <c r="H2" s="1031">
        <v>1</v>
      </c>
      <c r="I2" s="1023">
        <v>2</v>
      </c>
      <c r="J2" s="1023">
        <v>3</v>
      </c>
      <c r="K2" s="1023">
        <v>4</v>
      </c>
      <c r="L2" s="1023">
        <v>5</v>
      </c>
      <c r="M2" s="1023">
        <v>6</v>
      </c>
      <c r="N2" s="1023">
        <v>7</v>
      </c>
      <c r="O2" s="1032">
        <v>8</v>
      </c>
      <c r="P2" s="1023">
        <v>9</v>
      </c>
      <c r="Q2" s="1024">
        <v>10</v>
      </c>
      <c r="R2" s="1302" t="s">
        <v>3934</v>
      </c>
      <c r="S2" s="1018"/>
      <c r="T2" s="1018"/>
      <c r="U2" s="1018"/>
      <c r="V2" s="1018"/>
      <c r="W2" s="1018"/>
      <c r="X2" s="1018"/>
      <c r="Y2" s="1018"/>
      <c r="Z2" s="1057" t="s">
        <v>3935</v>
      </c>
      <c r="AA2" s="1018"/>
      <c r="AB2" s="1018"/>
      <c r="AC2" s="1018"/>
      <c r="AD2" s="1018"/>
      <c r="AE2" s="1018"/>
      <c r="AF2" s="1018"/>
      <c r="AG2" s="1018"/>
      <c r="AH2" s="1019"/>
    </row>
    <row r="3" spans="1:34" ht="15" thickTop="1" thickBot="1">
      <c r="A3" s="2160">
        <v>1</v>
      </c>
      <c r="B3" s="1047">
        <f>VLOOKUP("Cycle Time",Data!$A:$Y,2,FALSE)</f>
        <v>0</v>
      </c>
      <c r="C3" s="1048">
        <f>VLOOKUP("Offset Time",Data!$A:$Y,2,FALSE)</f>
        <v>0</v>
      </c>
      <c r="D3" s="1048">
        <f>VLOOKUP("Split Number",Data!$A:$Y,2,FALSE)</f>
        <v>1</v>
      </c>
      <c r="E3" s="1049">
        <f>VLOOKUP("Seq Number",Data!$A:$Y,2,FALSE)</f>
        <v>1</v>
      </c>
      <c r="F3" s="2152"/>
      <c r="G3" s="2153"/>
      <c r="H3" s="1050">
        <f>VLOOKUP("Time",Data!$A$2387:$K$2392,2,FALSE)</f>
        <v>0</v>
      </c>
      <c r="I3" s="1051">
        <f>VLOOKUP("Time",Data!$A$2387:$K$2392,3,FALSE)</f>
        <v>0</v>
      </c>
      <c r="J3" s="1051">
        <f>VLOOKUP("Time",Data!$A$2387:$K$2392,4,FALSE)</f>
        <v>0</v>
      </c>
      <c r="K3" s="1051">
        <f>VLOOKUP("Time",Data!$A$2387:$K$2392,5,FALSE)</f>
        <v>0</v>
      </c>
      <c r="L3" s="1051">
        <f>VLOOKUP("Time",Data!$A$2387:$K$2392,6,FALSE)</f>
        <v>0</v>
      </c>
      <c r="M3" s="1051">
        <f>VLOOKUP("Time",Data!$A$2387:$K$2392,7,FALSE)</f>
        <v>0</v>
      </c>
      <c r="N3" s="1051">
        <f>VLOOKUP("Time",Data!$A$2387:$K$2392,8,FALSE)</f>
        <v>0</v>
      </c>
      <c r="O3" s="1051">
        <f>VLOOKUP("Time",Data!$A$2387:$K$2392,9,FALSE)</f>
        <v>0</v>
      </c>
      <c r="P3" s="1051">
        <f>VLOOKUP("Time",Data!$A$2387:$K$2392,10,FALSE)</f>
        <v>0</v>
      </c>
      <c r="Q3" s="1052">
        <f>VLOOKUP("Time",Data!$A$2387:$K$2392,11,FALSE)</f>
        <v>0</v>
      </c>
      <c r="R3" s="2149" t="s">
        <v>3929</v>
      </c>
      <c r="S3" s="2146"/>
      <c r="T3" s="2161"/>
      <c r="U3" s="1011">
        <f>VLOOKUP("Service Ph 1",Data!$A:$K,2,FALSE)</f>
        <v>2</v>
      </c>
      <c r="V3" s="1011">
        <f>VLOOKUP("Service Ph 2",Data!$A:$K,2,FALSE)</f>
        <v>0</v>
      </c>
      <c r="W3" s="1011">
        <f>VLOOKUP("Service Ph 3",Data!$A:$K,2,FALSE)</f>
        <v>0</v>
      </c>
      <c r="X3" s="1011">
        <f>VLOOKUP("Service Ph 4",Data!$A:$K,2,FALSE)</f>
        <v>0</v>
      </c>
      <c r="Y3" s="1018"/>
      <c r="Z3" s="2146" t="s">
        <v>3929</v>
      </c>
      <c r="AA3" s="2146"/>
      <c r="AB3" s="2146"/>
      <c r="AC3" s="1011">
        <f>VLOOKUP("Service Ph 1",Data!$A:$K,3,FALSE)</f>
        <v>6</v>
      </c>
      <c r="AD3" s="1011">
        <f>VLOOKUP("Service Ph 2",Data!$A:$K,3,FALSE)</f>
        <v>0</v>
      </c>
      <c r="AE3" s="1011">
        <f>VLOOKUP("Service Ph 3",Data!$A:$K,3,FALSE)</f>
        <v>0</v>
      </c>
      <c r="AF3" s="1011">
        <f>VLOOKUP("Service Ph 4",Data!$A:$K,3,FALSE)</f>
        <v>0</v>
      </c>
      <c r="AG3" s="45"/>
      <c r="AH3" s="974"/>
    </row>
    <row r="4" spans="1:34" ht="13.8">
      <c r="A4" s="2148"/>
      <c r="B4" s="2132"/>
      <c r="C4" s="2133"/>
      <c r="D4" s="2134"/>
      <c r="E4" s="1284" t="s">
        <v>3936</v>
      </c>
      <c r="F4" s="1044"/>
      <c r="G4" s="1046"/>
      <c r="H4" s="1027">
        <f>VLOOKUP("Max Reduce 1",Data!$A:$K,2,FALSE)</f>
        <v>0</v>
      </c>
      <c r="I4" s="1028">
        <f>VLOOKUP("Max Reduce 2",Data!$A:$K,2,FALSE)</f>
        <v>0</v>
      </c>
      <c r="J4" s="1028">
        <f>VLOOKUP("Max Reduce 3",Data!$A:$K,2,FALSE)</f>
        <v>0</v>
      </c>
      <c r="K4" s="1028">
        <f>VLOOKUP("Max Reduce 4",Data!$A:$K,2,FALSE)</f>
        <v>0</v>
      </c>
      <c r="L4" s="1028">
        <f>VLOOKUP("Max Reduce 5",Data!$A:$K,2,FALSE)</f>
        <v>0</v>
      </c>
      <c r="M4" s="1028">
        <f>VLOOKUP("Max Reduce 6",Data!$A:$K,2,FALSE)</f>
        <v>0</v>
      </c>
      <c r="N4" s="1028">
        <f>VLOOKUP("Max Reduce 7",Data!$A:$K,2,FALSE)</f>
        <v>0</v>
      </c>
      <c r="O4" s="1028">
        <f>VLOOKUP("Max Reduce 8",Data!$A:$K,2,FALSE)</f>
        <v>0</v>
      </c>
      <c r="P4" s="1028">
        <f>VLOOKUP("Max Reduce 9",Data!$A:$K,2,FALSE)</f>
        <v>0</v>
      </c>
      <c r="Q4" s="1029">
        <f>VLOOKUP("Max Reduce 10",Data!$A:$K,2,FALSE)</f>
        <v>0</v>
      </c>
      <c r="R4" s="2149" t="s">
        <v>3930</v>
      </c>
      <c r="S4" s="2146"/>
      <c r="T4" s="2146"/>
      <c r="U4" s="1011">
        <f>VLOOKUP("Ph Omit 1",Data!$A$2767:$K$2805,2,FALSE)</f>
        <v>0</v>
      </c>
      <c r="V4" s="1011">
        <f>VLOOKUP("Ph Omit 2",Data!$A$2767:$K$2805,2,FALSE)</f>
        <v>0</v>
      </c>
      <c r="W4" s="1011">
        <f>VLOOKUP("Ph Omit 3",Data!$A$2767:$K$2805,2,FALSE)</f>
        <v>0</v>
      </c>
      <c r="X4" s="1011">
        <f>VLOOKUP("Ph Omit 4",Data!$A$2767:$K$2805,2,FALSE)</f>
        <v>0</v>
      </c>
      <c r="Y4" s="1018"/>
      <c r="Z4" s="2146" t="s">
        <v>3930</v>
      </c>
      <c r="AA4" s="2146"/>
      <c r="AB4" s="2146"/>
      <c r="AC4" s="1011">
        <f>VLOOKUP("Ph Omit 1",Data!$A$2767:$K$2805,3,FALSE)</f>
        <v>0</v>
      </c>
      <c r="AD4" s="1011">
        <f>VLOOKUP("Ph Omit 2",Data!$A$2767:$K$2805,3,FALSE)</f>
        <v>0</v>
      </c>
      <c r="AE4" s="1011">
        <f>VLOOKUP("Ph Omit 3",Data!$A$2767:$K$2805,3,FALSE)</f>
        <v>0</v>
      </c>
      <c r="AF4" s="1011">
        <f>VLOOKUP("Ph Omit 4",Data!$A$2767:$K$2805,3,FALSE)</f>
        <v>0</v>
      </c>
      <c r="AG4" s="45"/>
      <c r="AH4" s="974"/>
    </row>
    <row r="5" spans="1:34" ht="14.4" thickBot="1">
      <c r="A5" s="2148"/>
      <c r="B5" s="2135"/>
      <c r="C5" s="2136"/>
      <c r="D5" s="2137"/>
      <c r="E5" s="1285" t="s">
        <v>3937</v>
      </c>
      <c r="F5" s="1041"/>
      <c r="G5" s="1042"/>
      <c r="H5" s="1033">
        <f>VLOOKUP("Max Extend 1",Data!$A:$K,2,FALSE)</f>
        <v>0</v>
      </c>
      <c r="I5" s="1014">
        <f>VLOOKUP("Max Extend 2",Data!$A:$K,2,FALSE)</f>
        <v>0</v>
      </c>
      <c r="J5" s="1014">
        <f>VLOOKUP("Max Extend 3",Data!$A:$K,2,FALSE)</f>
        <v>0</v>
      </c>
      <c r="K5" s="1014">
        <f>VLOOKUP("Max Extend 4",Data!$A:$K,2,FALSE)</f>
        <v>0</v>
      </c>
      <c r="L5" s="1014">
        <f>VLOOKUP("Max Extend 5",Data!$A:$K,2,FALSE)</f>
        <v>0</v>
      </c>
      <c r="M5" s="1014">
        <f>VLOOKUP("Max Extend 6",Data!$A:$K,2,FALSE)</f>
        <v>0</v>
      </c>
      <c r="N5" s="1014">
        <f>VLOOKUP("Max Extend 7",Data!$A:$K,2,FALSE)</f>
        <v>0</v>
      </c>
      <c r="O5" s="1014">
        <f>VLOOKUP("Max Extend 8",Data!$A:$K,2,FALSE)</f>
        <v>0</v>
      </c>
      <c r="P5" s="1014">
        <f>VLOOKUP("Max Extend 9",Data!$A:$K,2,FALSE)</f>
        <v>0</v>
      </c>
      <c r="Q5" s="1292">
        <f>VLOOKUP("Max Extend 10",Data!$A:$K,2,FALSE)</f>
        <v>0</v>
      </c>
      <c r="R5" s="2149" t="s">
        <v>3931</v>
      </c>
      <c r="S5" s="2146"/>
      <c r="T5" s="2146"/>
      <c r="U5" s="1011">
        <f>VLOOKUP("Ped Omit 1",Data!$A$2767:$K$2805,2,FALSE)</f>
        <v>0</v>
      </c>
      <c r="V5" s="1011">
        <f>VLOOKUP("Ped Omit 2",Data!$A$2767:$K$2805,2,FALSE)</f>
        <v>0</v>
      </c>
      <c r="W5" s="1011">
        <f>VLOOKUP("Ped Omit 3",Data!$A$2767:$K$2805,2,FALSE)</f>
        <v>0</v>
      </c>
      <c r="X5" s="1011">
        <f>VLOOKUP("Ped Omit 4",Data!$A$2767:$K$2805,2,FALSE)</f>
        <v>0</v>
      </c>
      <c r="Y5" s="1018"/>
      <c r="Z5" s="2146" t="s">
        <v>3931</v>
      </c>
      <c r="AA5" s="2146"/>
      <c r="AB5" s="2146"/>
      <c r="AC5" s="1011">
        <f>VLOOKUP("Ped Omit 1",Data!$A$2767:$K$2805,3,FALSE)</f>
        <v>0</v>
      </c>
      <c r="AD5" s="1011">
        <f>VLOOKUP("Ped Omit 2",Data!$A$2767:$K$2805,3,FALSE)</f>
        <v>0</v>
      </c>
      <c r="AE5" s="1011">
        <f>VLOOKUP("Ped Omit 3",Data!$A$2767:$K$2805,3,FALSE)</f>
        <v>0</v>
      </c>
      <c r="AF5" s="1011">
        <f>VLOOKUP("Ped Omit 4",Data!$A$2767:$K$2805,3,FALSE)</f>
        <v>0</v>
      </c>
      <c r="AG5" s="45"/>
      <c r="AH5" s="974"/>
    </row>
    <row r="6" spans="1:34" ht="14.4" thickBot="1">
      <c r="A6" s="2148"/>
      <c r="B6" s="2135"/>
      <c r="C6" s="2136"/>
      <c r="D6" s="2137"/>
      <c r="E6" s="2129" t="s">
        <v>3938</v>
      </c>
      <c r="F6" s="2130"/>
      <c r="G6" s="2131"/>
      <c r="H6" s="1036">
        <v>1</v>
      </c>
      <c r="I6" s="1037">
        <v>2</v>
      </c>
      <c r="J6" s="1037">
        <v>3</v>
      </c>
      <c r="K6" s="1038">
        <v>4</v>
      </c>
      <c r="L6" s="2114"/>
      <c r="M6" s="2115"/>
      <c r="N6" s="2115"/>
      <c r="O6" s="2115"/>
      <c r="P6" s="2115"/>
      <c r="Q6" s="2116"/>
      <c r="R6" s="2149"/>
      <c r="S6" s="2146"/>
      <c r="T6" s="2146"/>
      <c r="U6" s="1058"/>
      <c r="V6" s="1018"/>
      <c r="W6" s="1018"/>
      <c r="X6" s="1018"/>
      <c r="Y6" s="1018"/>
      <c r="Z6" s="2146"/>
      <c r="AA6" s="2146"/>
      <c r="AB6" s="2146"/>
      <c r="AC6" s="1058"/>
      <c r="AD6" s="1018"/>
      <c r="AE6" s="1018"/>
      <c r="AF6" s="1018"/>
      <c r="AG6" s="1018"/>
      <c r="AH6" s="1019"/>
    </row>
    <row r="7" spans="1:34" ht="13.8" thickTop="1">
      <c r="A7" s="2148"/>
      <c r="B7" s="2135"/>
      <c r="C7" s="2136"/>
      <c r="D7" s="2137"/>
      <c r="E7" s="2143" t="s">
        <v>3939</v>
      </c>
      <c r="F7" s="2144"/>
      <c r="G7" s="2145"/>
      <c r="H7" s="1033">
        <f>VLOOKUP("Strategy Number 1",Data!$A:$K,2,FALSE)</f>
        <v>0</v>
      </c>
      <c r="I7" s="1014">
        <f>VLOOKUP("Strategy Number 2",Data!$A:$K,2,FALSE)</f>
        <v>0</v>
      </c>
      <c r="J7" s="1014">
        <f>VLOOKUP("Strategy Number 3",Data!$A:$K,2,FALSE)</f>
        <v>0</v>
      </c>
      <c r="K7" s="1017">
        <f>VLOOKUP("Strategy Number 4",Data!$A:$K,2,FALSE)</f>
        <v>0</v>
      </c>
      <c r="L7" s="2117"/>
      <c r="M7" s="2118"/>
      <c r="N7" s="2118"/>
      <c r="O7" s="2118"/>
      <c r="P7" s="2118"/>
      <c r="Q7" s="2119"/>
      <c r="R7" s="1303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8"/>
      <c r="AG7" s="1018"/>
      <c r="AH7" s="1019"/>
    </row>
    <row r="8" spans="1:34">
      <c r="A8" s="2148"/>
      <c r="B8" s="2135"/>
      <c r="C8" s="2136"/>
      <c r="D8" s="2137"/>
      <c r="E8" s="2143" t="s">
        <v>3940</v>
      </c>
      <c r="F8" s="2144"/>
      <c r="G8" s="2145"/>
      <c r="H8" s="1286">
        <f>VLOOKUP("Time Service Desired 1",Data!$A:$K,2,FALSE)</f>
        <v>0</v>
      </c>
      <c r="I8" s="1287">
        <f>VLOOKUP("Time Service Desired 2",Data!$A:$K,2,FALSE)</f>
        <v>0</v>
      </c>
      <c r="J8" s="1287">
        <f>VLOOKUP("Time Service Desired 3",Data!$A:$K,2,FALSE)</f>
        <v>0</v>
      </c>
      <c r="K8" s="1288">
        <f>VLOOKUP("Time Service Desired 4",Data!$A:$K,2,FALSE)</f>
        <v>0</v>
      </c>
      <c r="L8" s="2117"/>
      <c r="M8" s="2118"/>
      <c r="N8" s="2118"/>
      <c r="O8" s="2118"/>
      <c r="P8" s="2118"/>
      <c r="Q8" s="2119"/>
      <c r="R8" s="1302" t="s">
        <v>3941</v>
      </c>
      <c r="S8" s="1018"/>
      <c r="T8" s="1018"/>
      <c r="U8" s="1018"/>
      <c r="V8" s="1018"/>
      <c r="W8" s="1018"/>
      <c r="X8" s="1018"/>
      <c r="Y8" s="1018"/>
      <c r="Z8" s="1057" t="s">
        <v>3942</v>
      </c>
      <c r="AA8" s="1018"/>
      <c r="AB8" s="1018"/>
      <c r="AC8" s="1018"/>
      <c r="AD8" s="1018"/>
      <c r="AE8" s="1018"/>
      <c r="AF8" s="1018"/>
      <c r="AG8" s="1018"/>
      <c r="AH8" s="1019"/>
    </row>
    <row r="9" spans="1:34" ht="14.4" thickBot="1">
      <c r="A9" s="2151"/>
      <c r="B9" s="2138"/>
      <c r="C9" s="2139"/>
      <c r="D9" s="2140"/>
      <c r="E9" s="2102" t="s">
        <v>3977</v>
      </c>
      <c r="F9" s="2103"/>
      <c r="G9" s="2104"/>
      <c r="H9" s="1030">
        <f>VLOOKUP("Time Estimated Departure 1",Data!$A:$K,2,FALSE)</f>
        <v>0</v>
      </c>
      <c r="I9" s="1025">
        <f>VLOOKUP("Time Estimated Departure 2",Data!$A:$K,2,FALSE)</f>
        <v>0</v>
      </c>
      <c r="J9" s="1025">
        <f>VLOOKUP("Time Estimated Departure 3",Data!$A:$K,2,FALSE)</f>
        <v>0</v>
      </c>
      <c r="K9" s="1039">
        <f>VLOOKUP("Time Estimated Departure 4",Data!$A:$K,2,FALSE)</f>
        <v>0</v>
      </c>
      <c r="L9" s="2120"/>
      <c r="M9" s="2121"/>
      <c r="N9" s="2121"/>
      <c r="O9" s="2121"/>
      <c r="P9" s="2121"/>
      <c r="Q9" s="2122"/>
      <c r="R9" s="2149" t="s">
        <v>3929</v>
      </c>
      <c r="S9" s="2146"/>
      <c r="T9" s="2146"/>
      <c r="U9" s="1011">
        <f>VLOOKUP("Service Ph 1",Data!$A:$K,4,FALSE)</f>
        <v>0</v>
      </c>
      <c r="V9" s="1011">
        <f>VLOOKUP("Service Ph 2",Data!$A:$K,4,FALSE)</f>
        <v>0</v>
      </c>
      <c r="W9" s="1011">
        <f>VLOOKUP("Service Ph 3",Data!$A:$K,4,FALSE)</f>
        <v>0</v>
      </c>
      <c r="X9" s="1011">
        <f>VLOOKUP("Service Ph 4",Data!$A:$K,4,FALSE)</f>
        <v>0</v>
      </c>
      <c r="Y9" s="1018"/>
      <c r="Z9" s="2146" t="s">
        <v>3929</v>
      </c>
      <c r="AA9" s="2146"/>
      <c r="AB9" s="2146"/>
      <c r="AC9" s="1011">
        <f>VLOOKUP("Service Ph 1",Data!$A:$K,5,FALSE)</f>
        <v>0</v>
      </c>
      <c r="AD9" s="1011">
        <f>VLOOKUP("Service Ph 2",Data!$A:$K,5,FALSE)</f>
        <v>0</v>
      </c>
      <c r="AE9" s="1011">
        <f>VLOOKUP("Service Ph 3",Data!$A:$K,5,FALSE)</f>
        <v>0</v>
      </c>
      <c r="AF9" s="1011">
        <f>VLOOKUP("Service Ph 4",Data!$A:$K,5,FALSE)</f>
        <v>0</v>
      </c>
      <c r="AG9" s="45"/>
      <c r="AH9" s="974"/>
    </row>
    <row r="10" spans="1:34" ht="14.4" thickBot="1">
      <c r="A10" s="2150">
        <v>2</v>
      </c>
      <c r="B10" s="1021" t="s">
        <v>215</v>
      </c>
      <c r="C10" s="1021" t="s">
        <v>107</v>
      </c>
      <c r="D10" s="1021" t="s">
        <v>216</v>
      </c>
      <c r="E10" s="1022" t="s">
        <v>56</v>
      </c>
      <c r="F10" s="2141" t="s">
        <v>3947</v>
      </c>
      <c r="G10" s="2142"/>
      <c r="H10" s="1031">
        <v>1</v>
      </c>
      <c r="I10" s="1023">
        <v>2</v>
      </c>
      <c r="J10" s="1023">
        <v>3</v>
      </c>
      <c r="K10" s="1023">
        <v>4</v>
      </c>
      <c r="L10" s="1023">
        <v>5</v>
      </c>
      <c r="M10" s="1023">
        <v>6</v>
      </c>
      <c r="N10" s="1023">
        <v>7</v>
      </c>
      <c r="O10" s="1032">
        <v>8</v>
      </c>
      <c r="P10" s="1023">
        <v>9</v>
      </c>
      <c r="Q10" s="1024">
        <v>10</v>
      </c>
      <c r="R10" s="2149" t="s">
        <v>3930</v>
      </c>
      <c r="S10" s="2146"/>
      <c r="T10" s="2146"/>
      <c r="U10" s="1287">
        <f>VLOOKUP("Ph Omit 1",Data!$A$2767:$K$2805,4,FALSE)</f>
        <v>0</v>
      </c>
      <c r="V10" s="1287">
        <f>VLOOKUP("Ph Omit 2",Data!$A$2767:$K$2805,4,FALSE)</f>
        <v>0</v>
      </c>
      <c r="W10" s="1287">
        <f>VLOOKUP("Ph Omit 3",Data!$A$2767:$K$2805,4,FALSE)</f>
        <v>0</v>
      </c>
      <c r="X10" s="1287">
        <f>VLOOKUP("Ph Omit 4",Data!$A$2767:$K$2805,4,FALSE)</f>
        <v>0</v>
      </c>
      <c r="Y10" s="1018"/>
      <c r="Z10" s="2146" t="s">
        <v>3930</v>
      </c>
      <c r="AA10" s="2146"/>
      <c r="AB10" s="2146"/>
      <c r="AC10" s="1287">
        <f>VLOOKUP("Ph Omit 1",Data!$A$2767:$K$2805,5,FALSE)</f>
        <v>0</v>
      </c>
      <c r="AD10" s="1287">
        <f>VLOOKUP("Ph Omit 2",Data!$A$2767:$K$2805,5,FALSE)</f>
        <v>0</v>
      </c>
      <c r="AE10" s="1287">
        <f>VLOOKUP("Ph Omit 3",Data!$A$2767:$K$2805,5,FALSE)</f>
        <v>0</v>
      </c>
      <c r="AF10" s="1287">
        <f>VLOOKUP("Ph Omit 4",Data!$A$2767:$K$2805,5,FALSE)</f>
        <v>0</v>
      </c>
      <c r="AG10" s="45"/>
      <c r="AH10" s="974"/>
    </row>
    <row r="11" spans="1:34" ht="15" thickTop="1" thickBot="1">
      <c r="A11" s="2147"/>
      <c r="B11" s="1047">
        <f>VLOOKUP("Cycle Time",Data!$A:$Y,3,FALSE)</f>
        <v>0</v>
      </c>
      <c r="C11" s="1048">
        <f>VLOOKUP("Offset Time",Data!$A:$Y,3,FALSE)</f>
        <v>0</v>
      </c>
      <c r="D11" s="1048">
        <f>VLOOKUP("Split Number",Data!$A:$Y,3,FALSE)</f>
        <v>2</v>
      </c>
      <c r="E11" s="1049">
        <f>VLOOKUP("Seq Number",Data!$A:$Y,3,FALSE)</f>
        <v>1</v>
      </c>
      <c r="F11" s="2152"/>
      <c r="G11" s="2153"/>
      <c r="H11" s="1050">
        <f>VLOOKUP("Time",Data!$A$2393:$K$2398,2,FALSE)</f>
        <v>0</v>
      </c>
      <c r="I11" s="1051">
        <f>VLOOKUP("Time",Data!$A$2393:$K$2398,3,FALSE)</f>
        <v>0</v>
      </c>
      <c r="J11" s="1051">
        <f>VLOOKUP("Time",Data!$A$2393:$K$2398,4,FALSE)</f>
        <v>0</v>
      </c>
      <c r="K11" s="1051">
        <f>VLOOKUP("Time",Data!$A$2393:$K$2398,5,FALSE)</f>
        <v>0</v>
      </c>
      <c r="L11" s="1051">
        <f>VLOOKUP("Time",Data!$A$2393:$K$2398,6,FALSE)</f>
        <v>0</v>
      </c>
      <c r="M11" s="1051">
        <f>VLOOKUP("Time",Data!$A$2393:$K$2398,7,FALSE)</f>
        <v>0</v>
      </c>
      <c r="N11" s="1051">
        <f>VLOOKUP("Time",Data!$A$2393:$K$2398,8,FALSE)</f>
        <v>0</v>
      </c>
      <c r="O11" s="1051">
        <f>VLOOKUP("Time",Data!$A$2393:$K$2398,9,FALSE)</f>
        <v>0</v>
      </c>
      <c r="P11" s="1051">
        <f>VLOOKUP("Time",Data!$A$2393:$K$2398,10,FALSE)</f>
        <v>0</v>
      </c>
      <c r="Q11" s="1052">
        <f>VLOOKUP("Time",Data!$A$2393:$K$2398,11,FALSE)</f>
        <v>0</v>
      </c>
      <c r="R11" s="2149" t="s">
        <v>3931</v>
      </c>
      <c r="S11" s="2146"/>
      <c r="T11" s="2146"/>
      <c r="U11" s="1011">
        <f>VLOOKUP("Ped Omit 1",Data!$A$2767:$K$2805,4,FALSE)</f>
        <v>0</v>
      </c>
      <c r="V11" s="1011">
        <f>VLOOKUP("Ped Omit 2",Data!$A$2767:$K$2805,4,FALSE)</f>
        <v>0</v>
      </c>
      <c r="W11" s="1011">
        <f>VLOOKUP("Ped Omit 3",Data!$A$2767:$K$2805,4,FALSE)</f>
        <v>0</v>
      </c>
      <c r="X11" s="1011">
        <f>VLOOKUP("Ped Omit 4",Data!$A$2767:$K$2805,4,FALSE)</f>
        <v>0</v>
      </c>
      <c r="Y11" s="1018"/>
      <c r="Z11" s="2146" t="s">
        <v>3931</v>
      </c>
      <c r="AA11" s="2146"/>
      <c r="AB11" s="2146"/>
      <c r="AC11" s="1011">
        <f>VLOOKUP("Ped Omit 1",Data!$A$2767:$K$2805,5,FALSE)</f>
        <v>0</v>
      </c>
      <c r="AD11" s="1011">
        <f>VLOOKUP("Ped Omit 2",Data!$A$2767:$K$2805,5,FALSE)</f>
        <v>0</v>
      </c>
      <c r="AE11" s="1011">
        <f>VLOOKUP("Ped Omit 3",Data!$A$2767:$K$2805,5,FALSE)</f>
        <v>0</v>
      </c>
      <c r="AF11" s="1011">
        <f>VLOOKUP("Ped Omit 4",Data!$A$2767:$K$2805,5,FALSE)</f>
        <v>0</v>
      </c>
      <c r="AG11" s="45"/>
      <c r="AH11" s="974"/>
    </row>
    <row r="12" spans="1:34" ht="13.8">
      <c r="A12" s="2148"/>
      <c r="B12" s="2132"/>
      <c r="C12" s="2133"/>
      <c r="D12" s="2134"/>
      <c r="E12" s="1284" t="s">
        <v>3936</v>
      </c>
      <c r="F12" s="1044"/>
      <c r="G12" s="1046"/>
      <c r="H12" s="1027">
        <f>VLOOKUP("Max Reduce 1",Data!$A:$K,3,FALSE)</f>
        <v>0</v>
      </c>
      <c r="I12" s="1028">
        <f>VLOOKUP("Max Reduce 2",Data!$A:$K,3,FALSE)</f>
        <v>0</v>
      </c>
      <c r="J12" s="1028">
        <f>VLOOKUP("Max Reduce 3",Data!$A:$K,3,FALSE)</f>
        <v>0</v>
      </c>
      <c r="K12" s="1028">
        <f>VLOOKUP("Max Reduce 4",Data!$A:$K,3,FALSE)</f>
        <v>0</v>
      </c>
      <c r="L12" s="1028">
        <f>VLOOKUP("Max Reduce 5",Data!$A:$K,3,FALSE)</f>
        <v>0</v>
      </c>
      <c r="M12" s="1028">
        <f>VLOOKUP("Max Reduce 6",Data!$A:$K,3,FALSE)</f>
        <v>0</v>
      </c>
      <c r="N12" s="1028">
        <f>VLOOKUP("Max Reduce 7",Data!$A:$K,3,FALSE)</f>
        <v>0</v>
      </c>
      <c r="O12" s="1028">
        <f>VLOOKUP("Max Reduce 8",Data!$A:$K,3,FALSE)</f>
        <v>0</v>
      </c>
      <c r="P12" s="1028">
        <f>VLOOKUP("Max Reduce 9",Data!$A:$K,3,FALSE)</f>
        <v>0</v>
      </c>
      <c r="Q12" s="1029">
        <f>VLOOKUP("Max Reduce 10",Data!$A:$K,3,FALSE)</f>
        <v>0</v>
      </c>
      <c r="R12" s="2149"/>
      <c r="S12" s="2146"/>
      <c r="T12" s="2146"/>
      <c r="U12" s="1058"/>
      <c r="V12" s="1018"/>
      <c r="W12" s="1018"/>
      <c r="X12" s="1018"/>
      <c r="Y12" s="1018"/>
      <c r="Z12" s="2146"/>
      <c r="AA12" s="2146"/>
      <c r="AB12" s="2146"/>
      <c r="AC12" s="1058"/>
      <c r="AD12" s="1018"/>
      <c r="AE12" s="1018"/>
      <c r="AF12" s="1018"/>
      <c r="AG12" s="1018"/>
      <c r="AH12" s="1019"/>
    </row>
    <row r="13" spans="1:34" ht="13.8" thickBot="1">
      <c r="A13" s="2148"/>
      <c r="B13" s="2135"/>
      <c r="C13" s="2136"/>
      <c r="D13" s="2137"/>
      <c r="E13" s="1285" t="s">
        <v>3937</v>
      </c>
      <c r="F13" s="1041"/>
      <c r="G13" s="1042"/>
      <c r="H13" s="1033">
        <f>VLOOKUP("Max Extend 1",Data!$A:$K,3,FALSE)</f>
        <v>0</v>
      </c>
      <c r="I13" s="1014">
        <f>VLOOKUP("Max Extend 2",Data!$A:$K,3,FALSE)</f>
        <v>0</v>
      </c>
      <c r="J13" s="1014">
        <f>VLOOKUP("Max Extend 3",Data!$A:$K,3,FALSE)</f>
        <v>0</v>
      </c>
      <c r="K13" s="1014">
        <f>VLOOKUP("Max Extend 4",Data!$A:$K,3,FALSE)</f>
        <v>0</v>
      </c>
      <c r="L13" s="1014">
        <f>VLOOKUP("Max Extend 5",Data!$A:$K,3,FALSE)</f>
        <v>0</v>
      </c>
      <c r="M13" s="1014">
        <f>VLOOKUP("Max Extend 6",Data!$A:$K,3,FALSE)</f>
        <v>0</v>
      </c>
      <c r="N13" s="1014">
        <f>VLOOKUP("Max Extend 7",Data!$A:$K,3,FALSE)</f>
        <v>0</v>
      </c>
      <c r="O13" s="1014">
        <f>VLOOKUP("Max Extend 8",Data!$A:$K,3,FALSE)</f>
        <v>0</v>
      </c>
      <c r="P13" s="1014">
        <f>VLOOKUP("Max Extend 9",Data!$A:$K,3,FALSE)</f>
        <v>0</v>
      </c>
      <c r="Q13" s="1292">
        <f>VLOOKUP("Max Extend 10",Data!$A:$K,3,FALSE)</f>
        <v>0</v>
      </c>
      <c r="R13" s="1303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8"/>
      <c r="AG13" s="1018"/>
      <c r="AH13" s="1019"/>
    </row>
    <row r="14" spans="1:34" ht="13.8" thickBot="1">
      <c r="A14" s="2148"/>
      <c r="B14" s="2135"/>
      <c r="C14" s="2136"/>
      <c r="D14" s="2137"/>
      <c r="E14" s="2129" t="s">
        <v>3938</v>
      </c>
      <c r="F14" s="2130"/>
      <c r="G14" s="2131"/>
      <c r="H14" s="1034">
        <v>1</v>
      </c>
      <c r="I14" s="1035">
        <v>2</v>
      </c>
      <c r="J14" s="1035">
        <v>3</v>
      </c>
      <c r="K14" s="1040">
        <v>4</v>
      </c>
      <c r="L14" s="2114"/>
      <c r="M14" s="2115"/>
      <c r="N14" s="2115"/>
      <c r="O14" s="2115"/>
      <c r="P14" s="2115"/>
      <c r="Q14" s="2116"/>
      <c r="R14" s="1302" t="s">
        <v>3943</v>
      </c>
      <c r="S14" s="1018"/>
      <c r="T14" s="1018"/>
      <c r="U14" s="1018"/>
      <c r="V14" s="1018"/>
      <c r="W14" s="1018"/>
      <c r="X14" s="1018"/>
      <c r="Y14" s="1018"/>
      <c r="Z14" s="1057" t="s">
        <v>3944</v>
      </c>
      <c r="AA14" s="1018"/>
      <c r="AB14" s="1018"/>
      <c r="AC14" s="1018"/>
      <c r="AD14" s="1018"/>
      <c r="AE14" s="1018"/>
      <c r="AF14" s="1018"/>
      <c r="AG14" s="1018"/>
      <c r="AH14" s="1019"/>
    </row>
    <row r="15" spans="1:34" ht="14.4" thickTop="1">
      <c r="A15" s="2148"/>
      <c r="B15" s="2135"/>
      <c r="C15" s="2136"/>
      <c r="D15" s="2137"/>
      <c r="E15" s="2143" t="s">
        <v>3939</v>
      </c>
      <c r="F15" s="2144"/>
      <c r="G15" s="2145"/>
      <c r="H15" s="1033">
        <f>VLOOKUP("Strategy Number 1",Data!$A:$K,3,FALSE)</f>
        <v>0</v>
      </c>
      <c r="I15" s="1014">
        <f>VLOOKUP("Strategy Number 2",Data!$A:$K,3,FALSE)</f>
        <v>0</v>
      </c>
      <c r="J15" s="1014">
        <f>VLOOKUP("Strategy Number 3",Data!$A:$K,3,FALSE)</f>
        <v>0</v>
      </c>
      <c r="K15" s="1017">
        <f>VLOOKUP("Strategy Number 4",Data!$A:$K,3,FALSE)</f>
        <v>0</v>
      </c>
      <c r="L15" s="2117"/>
      <c r="M15" s="2118"/>
      <c r="N15" s="2118"/>
      <c r="O15" s="2118"/>
      <c r="P15" s="2118"/>
      <c r="Q15" s="2119"/>
      <c r="R15" s="2149" t="s">
        <v>3929</v>
      </c>
      <c r="S15" s="2146"/>
      <c r="T15" s="2146"/>
      <c r="U15" s="1011">
        <f>VLOOKUP("Service Ph 1",Data!$A:$K,6,FALSE)</f>
        <v>0</v>
      </c>
      <c r="V15" s="1011">
        <f>VLOOKUP("Service Ph 2",Data!$A:$K,6,FALSE)</f>
        <v>0</v>
      </c>
      <c r="W15" s="1011">
        <f>VLOOKUP("Service Ph 3",Data!$A:$K,6,FALSE)</f>
        <v>0</v>
      </c>
      <c r="X15" s="1011">
        <f>VLOOKUP("Service Ph 4",Data!$A:$K,6,FALSE)</f>
        <v>0</v>
      </c>
      <c r="Y15" s="1018"/>
      <c r="Z15" s="2146" t="s">
        <v>3929</v>
      </c>
      <c r="AA15" s="2146"/>
      <c r="AB15" s="2146"/>
      <c r="AC15" s="1011">
        <f>VLOOKUP("Service Ph 1",Data!$A:$K,7,FALSE)</f>
        <v>0</v>
      </c>
      <c r="AD15" s="1011">
        <f>VLOOKUP("Service Ph 2",Data!$A:$K,7,FALSE)</f>
        <v>0</v>
      </c>
      <c r="AE15" s="1011">
        <f>VLOOKUP("Service Ph 3",Data!$A:$K,7,FALSE)</f>
        <v>0</v>
      </c>
      <c r="AF15" s="1011">
        <f>VLOOKUP("Service Ph 4",Data!$A:$K,7,FALSE)</f>
        <v>0</v>
      </c>
      <c r="AG15" s="45"/>
      <c r="AH15" s="974"/>
    </row>
    <row r="16" spans="1:34" ht="13.8">
      <c r="A16" s="2148"/>
      <c r="B16" s="2135"/>
      <c r="C16" s="2136"/>
      <c r="D16" s="2137"/>
      <c r="E16" s="2143" t="s">
        <v>3940</v>
      </c>
      <c r="F16" s="2144"/>
      <c r="G16" s="2145"/>
      <c r="H16" s="1286">
        <f>VLOOKUP("Time Service Desired 1",Data!$A:$K,3,FALSE)</f>
        <v>0</v>
      </c>
      <c r="I16" s="1287">
        <f>VLOOKUP("Time Service Desired 2",Data!$A:$K,3,FALSE)</f>
        <v>0</v>
      </c>
      <c r="J16" s="1287">
        <f>VLOOKUP("Time Service Desired 3",Data!$A:$K,3,FALSE)</f>
        <v>0</v>
      </c>
      <c r="K16" s="1288">
        <f>VLOOKUP("Time Service Desired 4",Data!$A:$K,3,FALSE)</f>
        <v>0</v>
      </c>
      <c r="L16" s="2117"/>
      <c r="M16" s="2118"/>
      <c r="N16" s="2118"/>
      <c r="O16" s="2118"/>
      <c r="P16" s="2118"/>
      <c r="Q16" s="2119"/>
      <c r="R16" s="2149" t="s">
        <v>3930</v>
      </c>
      <c r="S16" s="2146"/>
      <c r="T16" s="2146"/>
      <c r="U16" s="1287">
        <f>VLOOKUP("Ph Omit 1",Data!$A$2767:$K$2805,6,FALSE)</f>
        <v>0</v>
      </c>
      <c r="V16" s="1287">
        <f>VLOOKUP("Ph Omit 2",Data!$A$2767:$K$2805,6,FALSE)</f>
        <v>0</v>
      </c>
      <c r="W16" s="1287">
        <f>VLOOKUP("Ph Omit 3",Data!$A$2767:$K$2805,6,FALSE)</f>
        <v>0</v>
      </c>
      <c r="X16" s="1287">
        <f>VLOOKUP("Ph Omit 4",Data!$A$2767:$K$2805,6,FALSE)</f>
        <v>0</v>
      </c>
      <c r="Y16" s="1018"/>
      <c r="Z16" s="2146" t="s">
        <v>3930</v>
      </c>
      <c r="AA16" s="2146"/>
      <c r="AB16" s="2146"/>
      <c r="AC16" s="1287">
        <f>VLOOKUP("Ph Omit 1",Data!$A$2767:$K$2805,7,FALSE)</f>
        <v>0</v>
      </c>
      <c r="AD16" s="1287">
        <f>VLOOKUP("Ph Omit 2",Data!$A$2767:$K$2805,7,FALSE)</f>
        <v>0</v>
      </c>
      <c r="AE16" s="1287">
        <f>VLOOKUP("Ph Omit 3",Data!$A$2767:$K$2805,7,FALSE)</f>
        <v>0</v>
      </c>
      <c r="AF16" s="1287">
        <f>VLOOKUP("Ph Omit 4",Data!$A$2767:$K$2805,7,FALSE)</f>
        <v>0</v>
      </c>
      <c r="AG16" s="45"/>
      <c r="AH16" s="974"/>
    </row>
    <row r="17" spans="1:37" ht="14.4" thickBot="1">
      <c r="A17" s="2151"/>
      <c r="B17" s="2138"/>
      <c r="C17" s="2139"/>
      <c r="D17" s="2140"/>
      <c r="E17" s="2102" t="s">
        <v>3977</v>
      </c>
      <c r="F17" s="2103"/>
      <c r="G17" s="2104"/>
      <c r="H17" s="1030">
        <f>VLOOKUP("Time Estimated Departure 1",Data!$A:$K,3,FALSE)</f>
        <v>0</v>
      </c>
      <c r="I17" s="1025">
        <f>VLOOKUP("Time Estimated Departure 2",Data!$A:$K,3,FALSE)</f>
        <v>0</v>
      </c>
      <c r="J17" s="1025">
        <f>VLOOKUP("Time Estimated Departure 3",Data!$A:$K,3,FALSE)</f>
        <v>0</v>
      </c>
      <c r="K17" s="1039">
        <f>VLOOKUP("Time Estimated Departure 4",Data!$A:$K,3,FALSE)</f>
        <v>0</v>
      </c>
      <c r="L17" s="2120"/>
      <c r="M17" s="2121"/>
      <c r="N17" s="2121"/>
      <c r="O17" s="2121"/>
      <c r="P17" s="2121"/>
      <c r="Q17" s="2122"/>
      <c r="R17" s="2149" t="s">
        <v>3931</v>
      </c>
      <c r="S17" s="2146"/>
      <c r="T17" s="2146"/>
      <c r="U17" s="1011">
        <f>VLOOKUP("Ped Omit 1",Data!$A$2767:$K$2805,6,FALSE)</f>
        <v>0</v>
      </c>
      <c r="V17" s="1011">
        <f>VLOOKUP("Ped Omit 2",Data!$A$2767:$K$2805,6,FALSE)</f>
        <v>0</v>
      </c>
      <c r="W17" s="1011">
        <f>VLOOKUP("Ped Omit 3",Data!$A$2767:$K$2805,6,FALSE)</f>
        <v>0</v>
      </c>
      <c r="X17" s="1011">
        <f>VLOOKUP("Ped Omit 4",Data!$A$2767:$K$2805,6,FALSE)</f>
        <v>0</v>
      </c>
      <c r="Y17" s="1018"/>
      <c r="Z17" s="2146" t="s">
        <v>3931</v>
      </c>
      <c r="AA17" s="2146"/>
      <c r="AB17" s="2146"/>
      <c r="AC17" s="1011">
        <f>VLOOKUP("Ped Omit 1",Data!$A$2767:$K$2805,7,FALSE)</f>
        <v>0</v>
      </c>
      <c r="AD17" s="1011">
        <f>VLOOKUP("Ped Omit 2",Data!$A$2767:$K$2805,7,FALSE)</f>
        <v>0</v>
      </c>
      <c r="AE17" s="1011">
        <f>VLOOKUP("Ped Omit 3",Data!$A$2767:$K$2805,7,FALSE)</f>
        <v>0</v>
      </c>
      <c r="AF17" s="1011">
        <f>VLOOKUP("Ped Omit 4",Data!$A$2767:$K$2805,7,FALSE)</f>
        <v>0</v>
      </c>
      <c r="AG17" s="45"/>
      <c r="AH17" s="974"/>
    </row>
    <row r="18" spans="1:37" ht="14.25" customHeight="1" thickBot="1">
      <c r="A18" s="2147">
        <v>3</v>
      </c>
      <c r="B18" s="1015" t="s">
        <v>215</v>
      </c>
      <c r="C18" s="1015" t="s">
        <v>107</v>
      </c>
      <c r="D18" s="1015" t="s">
        <v>216</v>
      </c>
      <c r="E18" s="1016" t="s">
        <v>56</v>
      </c>
      <c r="F18" s="2141" t="s">
        <v>3947</v>
      </c>
      <c r="G18" s="2142"/>
      <c r="H18" s="1031">
        <v>1</v>
      </c>
      <c r="I18" s="1023">
        <v>2</v>
      </c>
      <c r="J18" s="1023">
        <v>3</v>
      </c>
      <c r="K18" s="1023">
        <v>4</v>
      </c>
      <c r="L18" s="1023">
        <v>5</v>
      </c>
      <c r="M18" s="1023">
        <v>6</v>
      </c>
      <c r="N18" s="1023">
        <v>7</v>
      </c>
      <c r="O18" s="1032">
        <v>8</v>
      </c>
      <c r="P18" s="1023">
        <v>9</v>
      </c>
      <c r="Q18" s="1024">
        <v>10</v>
      </c>
      <c r="R18" s="2149"/>
      <c r="S18" s="2146"/>
      <c r="T18" s="2146"/>
      <c r="U18" s="1058"/>
      <c r="V18" s="1018"/>
      <c r="W18" s="1018"/>
      <c r="X18" s="1018"/>
      <c r="Y18" s="1018"/>
      <c r="Z18" s="2146"/>
      <c r="AA18" s="2146"/>
      <c r="AB18" s="2146"/>
      <c r="AC18" s="1058"/>
      <c r="AD18" s="1018"/>
      <c r="AE18" s="1018"/>
      <c r="AF18" s="1018"/>
      <c r="AG18" s="1018"/>
      <c r="AH18" s="1019"/>
    </row>
    <row r="19" spans="1:37" ht="14.4" thickTop="1" thickBot="1">
      <c r="A19" s="2147"/>
      <c r="B19" s="1047">
        <f>VLOOKUP("Cycle Time",Data!$A:$Y,4,FALSE)</f>
        <v>0</v>
      </c>
      <c r="C19" s="1048">
        <f>VLOOKUP("Offset Time",Data!$A:$Y,4,FALSE)</f>
        <v>0</v>
      </c>
      <c r="D19" s="1048">
        <f>VLOOKUP("Split Number",Data!$A:$Y,4,FALSE)</f>
        <v>3</v>
      </c>
      <c r="E19" s="1049">
        <f>VLOOKUP("Seq Number",Data!$A:$Y,4,FALSE)</f>
        <v>1</v>
      </c>
      <c r="F19" s="1055"/>
      <c r="G19" s="1054"/>
      <c r="H19" s="1050">
        <f>VLOOKUP("Time",Data!$A$2399:$K$2404,2,FALSE)</f>
        <v>0</v>
      </c>
      <c r="I19" s="1051">
        <f>VLOOKUP("Time",Data!$A$2399:$K$2404,3,FALSE)</f>
        <v>0</v>
      </c>
      <c r="J19" s="1051">
        <f>VLOOKUP("Time",Data!$A$2399:$K$2404,4,FALSE)</f>
        <v>0</v>
      </c>
      <c r="K19" s="1051">
        <f>VLOOKUP("Time",Data!$A$2399:$K$2404,5,FALSE)</f>
        <v>0</v>
      </c>
      <c r="L19" s="1051">
        <f>VLOOKUP("Time",Data!$A$2399:$K$2404,6,FALSE)</f>
        <v>0</v>
      </c>
      <c r="M19" s="1051">
        <f>VLOOKUP("Time",Data!$A$2399:$K$2404,7,FALSE)</f>
        <v>0</v>
      </c>
      <c r="N19" s="1051">
        <f>VLOOKUP("Time",Data!$A$2399:$K$2404,8,FALSE)</f>
        <v>0</v>
      </c>
      <c r="O19" s="1051">
        <f>VLOOKUP("Time",Data!$A$2399:$K$2404,9,FALSE)</f>
        <v>0</v>
      </c>
      <c r="P19" s="1051">
        <f>VLOOKUP("Time",Data!$A$2399:$K$2404,10,FALSE)</f>
        <v>0</v>
      </c>
      <c r="Q19" s="1052">
        <f>VLOOKUP("Time",Data!$A$2399:$K$2404,11,FALSE)</f>
        <v>0</v>
      </c>
      <c r="R19" s="1303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9"/>
    </row>
    <row r="20" spans="1:37" ht="14.25" customHeight="1">
      <c r="A20" s="2148"/>
      <c r="B20" s="2132"/>
      <c r="C20" s="2133"/>
      <c r="D20" s="2134"/>
      <c r="E20" s="1284" t="s">
        <v>3936</v>
      </c>
      <c r="F20" s="1044"/>
      <c r="G20" s="1046"/>
      <c r="H20" s="1027">
        <f>VLOOKUP("Max Reduce 1",Data!$A:$K,4,FALSE)</f>
        <v>0</v>
      </c>
      <c r="I20" s="1028">
        <f>VLOOKUP("Max Reduce 2",Data!$A:$K,4,FALSE)</f>
        <v>0</v>
      </c>
      <c r="J20" s="1028">
        <f>VLOOKUP("Max Reduce 3",Data!$A:$K,4,FALSE)</f>
        <v>0</v>
      </c>
      <c r="K20" s="1028">
        <f>VLOOKUP("Max Reduce 4",Data!$A:$K,4,FALSE)</f>
        <v>0</v>
      </c>
      <c r="L20" s="1028">
        <f>VLOOKUP("Max Reduce 5",Data!$A:$K,4,FALSE)</f>
        <v>0</v>
      </c>
      <c r="M20" s="1028">
        <f>VLOOKUP("Max Reduce 6",Data!$A:$K,4,FALSE)</f>
        <v>0</v>
      </c>
      <c r="N20" s="1028">
        <f>VLOOKUP("Max Reduce 7",Data!$A:$K,4,FALSE)</f>
        <v>0</v>
      </c>
      <c r="O20" s="1028">
        <f>VLOOKUP("Max Reduce 8",Data!$A:$K,4,FALSE)</f>
        <v>0</v>
      </c>
      <c r="P20" s="1028">
        <f>VLOOKUP("Max Reduce 9",Data!$A:$K,4,FALSE)</f>
        <v>0</v>
      </c>
      <c r="Q20" s="1029">
        <f>VLOOKUP("Max Reduce 10",Data!$A:$K,4,FALSE)</f>
        <v>0</v>
      </c>
      <c r="R20" s="1302" t="s">
        <v>3945</v>
      </c>
      <c r="S20" s="1018"/>
      <c r="T20" s="1018"/>
      <c r="U20" s="1018"/>
      <c r="V20" s="1018"/>
      <c r="W20" s="1018"/>
      <c r="X20" s="1018"/>
      <c r="Y20" s="1018"/>
      <c r="Z20" s="1057" t="s">
        <v>3946</v>
      </c>
      <c r="AA20" s="1018"/>
      <c r="AB20" s="1018"/>
      <c r="AC20" s="1018"/>
      <c r="AD20" s="1018"/>
      <c r="AE20" s="1018"/>
      <c r="AF20" s="1018"/>
      <c r="AG20" s="1018"/>
      <c r="AH20" s="1019"/>
      <c r="AK20" s="1010" t="s">
        <v>34</v>
      </c>
    </row>
    <row r="21" spans="1:37" ht="14.25" customHeight="1" thickBot="1">
      <c r="A21" s="2148"/>
      <c r="B21" s="2135"/>
      <c r="C21" s="2136"/>
      <c r="D21" s="2137"/>
      <c r="E21" s="1285" t="s">
        <v>3937</v>
      </c>
      <c r="F21" s="1041"/>
      <c r="G21" s="1042"/>
      <c r="H21" s="1033">
        <f>VLOOKUP("Max Extend 1",Data!$A:$K,4,FALSE)</f>
        <v>0</v>
      </c>
      <c r="I21" s="1014">
        <f>VLOOKUP("Max Extend 2",Data!$A:$K,4,FALSE)</f>
        <v>0</v>
      </c>
      <c r="J21" s="1014">
        <f>VLOOKUP("Max Extend 3",Data!$A:$K,4,FALSE)</f>
        <v>0</v>
      </c>
      <c r="K21" s="1014">
        <f>VLOOKUP("Max Extend 4",Data!$A:$K,4,FALSE)</f>
        <v>0</v>
      </c>
      <c r="L21" s="1014">
        <f>VLOOKUP("Max Extend 5",Data!$A:$K,4,FALSE)</f>
        <v>0</v>
      </c>
      <c r="M21" s="1014">
        <f>VLOOKUP("Max Extend 6",Data!$A:$K,4,FALSE)</f>
        <v>0</v>
      </c>
      <c r="N21" s="1014">
        <f>VLOOKUP("Max Extend 7",Data!$A:$K,4,FALSE)</f>
        <v>0</v>
      </c>
      <c r="O21" s="1014">
        <f>VLOOKUP("Max Extend 8",Data!$A:$K,4,FALSE)</f>
        <v>0</v>
      </c>
      <c r="P21" s="1014">
        <f>VLOOKUP("Max Extend 9",Data!$A:$K,4,FALSE)</f>
        <v>0</v>
      </c>
      <c r="Q21" s="1292">
        <f>VLOOKUP("Max Extend 10",Data!$A:$K,4,FALSE)</f>
        <v>0</v>
      </c>
      <c r="R21" s="2149" t="s">
        <v>3929</v>
      </c>
      <c r="S21" s="2146"/>
      <c r="T21" s="2146"/>
      <c r="U21" s="1011">
        <f>VLOOKUP("Service Ph 1",Data!$A:$K,8,FALSE)</f>
        <v>0</v>
      </c>
      <c r="V21" s="1011">
        <f>VLOOKUP("Service Ph 2",Data!$A:$K,8,FALSE)</f>
        <v>0</v>
      </c>
      <c r="W21" s="1011">
        <f>VLOOKUP("Service Ph 3",Data!$A:$K,8,FALSE)</f>
        <v>0</v>
      </c>
      <c r="X21" s="1011">
        <f>VLOOKUP("Service Ph 4",Data!$A:$K,8,FALSE)</f>
        <v>0</v>
      </c>
      <c r="Y21" s="1018"/>
      <c r="Z21" s="2146" t="s">
        <v>3929</v>
      </c>
      <c r="AA21" s="2146"/>
      <c r="AB21" s="2146"/>
      <c r="AC21" s="1011">
        <f>VLOOKUP("Service Ph 1",Data!$A:$K,9,FALSE)</f>
        <v>0</v>
      </c>
      <c r="AD21" s="1011">
        <f>VLOOKUP("Service Ph 2",Data!$A:$K,9,FALSE)</f>
        <v>0</v>
      </c>
      <c r="AE21" s="1011">
        <f>VLOOKUP("Service Ph 3",Data!$A:$K,9,FALSE)</f>
        <v>0</v>
      </c>
      <c r="AF21" s="1011">
        <f>VLOOKUP("Service Ph 4",Data!$A:$K,9,FALSE)</f>
        <v>0</v>
      </c>
      <c r="AG21" s="45"/>
      <c r="AH21" s="974"/>
    </row>
    <row r="22" spans="1:37" ht="14.25" customHeight="1" thickBot="1">
      <c r="A22" s="2148"/>
      <c r="B22" s="2135"/>
      <c r="C22" s="2136"/>
      <c r="D22" s="2137"/>
      <c r="E22" s="2129" t="s">
        <v>3938</v>
      </c>
      <c r="F22" s="2130"/>
      <c r="G22" s="2131"/>
      <c r="H22" s="1034">
        <v>1</v>
      </c>
      <c r="I22" s="1035">
        <v>2</v>
      </c>
      <c r="J22" s="1035">
        <v>3</v>
      </c>
      <c r="K22" s="1040">
        <v>4</v>
      </c>
      <c r="L22" s="2114"/>
      <c r="M22" s="2115"/>
      <c r="N22" s="2115"/>
      <c r="O22" s="2115"/>
      <c r="P22" s="2115"/>
      <c r="Q22" s="2116"/>
      <c r="R22" s="2149" t="s">
        <v>3930</v>
      </c>
      <c r="S22" s="2146"/>
      <c r="T22" s="2146"/>
      <c r="U22" s="1287">
        <f>VLOOKUP("Ph Omit 1",Data!$A$2767:$K$2805,8,FALSE)</f>
        <v>0</v>
      </c>
      <c r="V22" s="1287">
        <f>VLOOKUP("Ph Omit 2",Data!$A$2767:$K$2805,8,FALSE)</f>
        <v>0</v>
      </c>
      <c r="W22" s="1287">
        <f>VLOOKUP("Ph Omit 3",Data!$A$2767:$K$2805,8,FALSE)</f>
        <v>0</v>
      </c>
      <c r="X22" s="1287">
        <f>VLOOKUP("Ph Omit 4",Data!$A$2767:$K$2805,8,FALSE)</f>
        <v>0</v>
      </c>
      <c r="Y22" s="1018"/>
      <c r="Z22" s="2146" t="s">
        <v>3930</v>
      </c>
      <c r="AA22" s="2146"/>
      <c r="AB22" s="2146"/>
      <c r="AC22" s="1287">
        <f>VLOOKUP("Ph Omit 1",Data!$A$2767:$K$2805,9,FALSE)</f>
        <v>0</v>
      </c>
      <c r="AD22" s="1287">
        <f>VLOOKUP("Ph Omit 2",Data!$A$2767:$K$2805,9,FALSE)</f>
        <v>0</v>
      </c>
      <c r="AE22" s="1287">
        <f>VLOOKUP("Ph Omit 3",Data!$A$2767:$K$2805,9,FALSE)</f>
        <v>0</v>
      </c>
      <c r="AF22" s="1287">
        <f>VLOOKUP("Ph Omit 4",Data!$A$2767:$K$2805,9,FALSE)</f>
        <v>0</v>
      </c>
      <c r="AG22" s="45"/>
      <c r="AH22" s="974"/>
    </row>
    <row r="23" spans="1:37" ht="14.25" customHeight="1" thickTop="1">
      <c r="A23" s="2148"/>
      <c r="B23" s="2135"/>
      <c r="C23" s="2136"/>
      <c r="D23" s="2137"/>
      <c r="E23" s="2143" t="s">
        <v>3939</v>
      </c>
      <c r="F23" s="2144"/>
      <c r="G23" s="2145"/>
      <c r="H23" s="1033">
        <f>VLOOKUP("Strategy Number 1",Data!$A:$K,4,FALSE)</f>
        <v>0</v>
      </c>
      <c r="I23" s="1014">
        <f>VLOOKUP("Strategy Number 2",Data!$A:$K,4,FALSE)</f>
        <v>0</v>
      </c>
      <c r="J23" s="1014">
        <f>VLOOKUP("Strategy Number 3",Data!$A:$K,4,FALSE)</f>
        <v>0</v>
      </c>
      <c r="K23" s="1017">
        <f>VLOOKUP("Strategy Number 4",Data!$A:$K,4,FALSE)</f>
        <v>0</v>
      </c>
      <c r="L23" s="2117"/>
      <c r="M23" s="2118"/>
      <c r="N23" s="2118"/>
      <c r="O23" s="2118"/>
      <c r="P23" s="2118"/>
      <c r="Q23" s="2119"/>
      <c r="R23" s="2149" t="s">
        <v>3931</v>
      </c>
      <c r="S23" s="2146"/>
      <c r="T23" s="2146"/>
      <c r="U23" s="1011">
        <f>VLOOKUP("Ped Omit 1",Data!$A$2767:$K$2805,8,FALSE)</f>
        <v>0</v>
      </c>
      <c r="V23" s="1011">
        <f>VLOOKUP("Ped Omit 2",Data!$A$2767:$K$2805,8,FALSE)</f>
        <v>0</v>
      </c>
      <c r="W23" s="1011">
        <f>VLOOKUP("Ped Omit 3",Data!$A$2767:$K$2805,8,FALSE)</f>
        <v>0</v>
      </c>
      <c r="X23" s="1011">
        <f>VLOOKUP("Ped Omit 4",Data!$A$2767:$K$2805,8,FALSE)</f>
        <v>0</v>
      </c>
      <c r="Y23" s="1018"/>
      <c r="Z23" s="2146" t="s">
        <v>3931</v>
      </c>
      <c r="AA23" s="2146"/>
      <c r="AB23" s="2146"/>
      <c r="AC23" s="1011">
        <f>VLOOKUP("Ped Omit 1",Data!$A$2767:$K$2805,9,FALSE)</f>
        <v>0</v>
      </c>
      <c r="AD23" s="1011">
        <f>VLOOKUP("Ped Omit 2",Data!$A$2767:$K$2805,9,FALSE)</f>
        <v>0</v>
      </c>
      <c r="AE23" s="1011">
        <f>VLOOKUP("Ped Omit 3",Data!$A$2767:$K$2805,9,FALSE)</f>
        <v>0</v>
      </c>
      <c r="AF23" s="1011">
        <f>VLOOKUP("Ped Omit 4",Data!$A$2767:$K$2805,9,FALSE)</f>
        <v>0</v>
      </c>
      <c r="AG23" s="45"/>
      <c r="AH23" s="974"/>
    </row>
    <row r="24" spans="1:37" ht="14.25" customHeight="1">
      <c r="A24" s="2148"/>
      <c r="B24" s="2135"/>
      <c r="C24" s="2136"/>
      <c r="D24" s="2137"/>
      <c r="E24" s="2143" t="s">
        <v>3940</v>
      </c>
      <c r="F24" s="2144"/>
      <c r="G24" s="2145"/>
      <c r="H24" s="1286">
        <f>VLOOKUP("Time Service Desired 1",Data!$A:$K,4,FALSE)</f>
        <v>0</v>
      </c>
      <c r="I24" s="1287">
        <f>VLOOKUP("Time Service Desired 2",Data!$A:$K,4,FALSE)</f>
        <v>0</v>
      </c>
      <c r="J24" s="1287">
        <f>VLOOKUP("Time Service Desired 3",Data!$A:$K,4,FALSE)</f>
        <v>0</v>
      </c>
      <c r="K24" s="1288">
        <f>VLOOKUP("Time Service Desired 4",Data!$A:$K,4,FALSE)</f>
        <v>0</v>
      </c>
      <c r="L24" s="2117"/>
      <c r="M24" s="2118"/>
      <c r="N24" s="2118"/>
      <c r="O24" s="2118"/>
      <c r="P24" s="2118"/>
      <c r="Q24" s="2119"/>
      <c r="R24" s="2149"/>
      <c r="S24" s="2146"/>
      <c r="T24" s="2146"/>
      <c r="U24" s="1058"/>
      <c r="V24" s="1018"/>
      <c r="W24" s="1018"/>
      <c r="X24" s="1018"/>
      <c r="Y24" s="1018"/>
      <c r="Z24" s="2146"/>
      <c r="AA24" s="2146"/>
      <c r="AB24" s="2146"/>
      <c r="AC24" s="1058"/>
      <c r="AD24" s="1018"/>
      <c r="AE24" s="1018"/>
      <c r="AF24" s="1018"/>
      <c r="AG24" s="1018"/>
      <c r="AH24" s="1019"/>
    </row>
    <row r="25" spans="1:37" ht="14.25" customHeight="1" thickBot="1">
      <c r="A25" s="2148"/>
      <c r="B25" s="2138"/>
      <c r="C25" s="2139"/>
      <c r="D25" s="2140"/>
      <c r="E25" s="2102" t="s">
        <v>3977</v>
      </c>
      <c r="F25" s="2103"/>
      <c r="G25" s="2104"/>
      <c r="H25" s="1030">
        <f>VLOOKUP("Time Estimated Departure 1",Data!$A:$K,4,FALSE)</f>
        <v>0</v>
      </c>
      <c r="I25" s="1025">
        <f>VLOOKUP("Time Estimated Departure 2",Data!$A:$K,4,FALSE)</f>
        <v>0</v>
      </c>
      <c r="J25" s="1025">
        <f>VLOOKUP("Time Estimated Departure 3",Data!$A:$K,4,FALSE)</f>
        <v>0</v>
      </c>
      <c r="K25" s="1039">
        <f>VLOOKUP("Time Estimated Departure 4",Data!$A:$K,4,FALSE)</f>
        <v>0</v>
      </c>
      <c r="L25" s="2120"/>
      <c r="M25" s="2121"/>
      <c r="N25" s="2121"/>
      <c r="O25" s="2121"/>
      <c r="P25" s="2121"/>
      <c r="Q25" s="2122"/>
      <c r="R25" s="1303"/>
      <c r="S25" s="1018"/>
      <c r="T25" s="1018"/>
      <c r="U25" s="1018"/>
      <c r="V25" s="1018"/>
      <c r="W25" s="1018"/>
      <c r="X25" s="1018"/>
      <c r="Y25" s="1018"/>
      <c r="Z25" s="1018"/>
      <c r="AA25" s="1018"/>
      <c r="AB25" s="1018"/>
      <c r="AC25" s="1018"/>
      <c r="AD25" s="1018"/>
      <c r="AE25" s="1018"/>
      <c r="AF25" s="1018"/>
      <c r="AG25" s="1018"/>
      <c r="AH25" s="1019"/>
    </row>
    <row r="26" spans="1:37" ht="14.25" customHeight="1" thickBot="1">
      <c r="A26" s="2123">
        <v>4</v>
      </c>
      <c r="B26" s="1026" t="s">
        <v>215</v>
      </c>
      <c r="C26" s="1021" t="s">
        <v>107</v>
      </c>
      <c r="D26" s="1021" t="s">
        <v>216</v>
      </c>
      <c r="E26" s="1022" t="s">
        <v>56</v>
      </c>
      <c r="F26" s="2141" t="s">
        <v>3947</v>
      </c>
      <c r="G26" s="2142"/>
      <c r="H26" s="1031">
        <v>1</v>
      </c>
      <c r="I26" s="1023">
        <v>2</v>
      </c>
      <c r="J26" s="1023">
        <v>3</v>
      </c>
      <c r="K26" s="1023">
        <v>4</v>
      </c>
      <c r="L26" s="1023">
        <v>5</v>
      </c>
      <c r="M26" s="1023">
        <v>6</v>
      </c>
      <c r="N26" s="1023">
        <v>7</v>
      </c>
      <c r="O26" s="1032">
        <v>8</v>
      </c>
      <c r="P26" s="1023">
        <v>9</v>
      </c>
      <c r="Q26" s="1024">
        <v>10</v>
      </c>
      <c r="R26" s="2123">
        <v>6</v>
      </c>
      <c r="S26" s="1026" t="s">
        <v>215</v>
      </c>
      <c r="T26" s="1021" t="s">
        <v>107</v>
      </c>
      <c r="U26" s="1021" t="s">
        <v>216</v>
      </c>
      <c r="V26" s="1022" t="s">
        <v>56</v>
      </c>
      <c r="W26" s="2141" t="s">
        <v>3947</v>
      </c>
      <c r="X26" s="2142"/>
      <c r="Y26" s="1031">
        <v>1</v>
      </c>
      <c r="Z26" s="1023">
        <v>2</v>
      </c>
      <c r="AA26" s="1023">
        <v>3</v>
      </c>
      <c r="AB26" s="1023">
        <v>4</v>
      </c>
      <c r="AC26" s="1023">
        <v>5</v>
      </c>
      <c r="AD26" s="1023">
        <v>6</v>
      </c>
      <c r="AE26" s="1023">
        <v>7</v>
      </c>
      <c r="AF26" s="1032">
        <v>8</v>
      </c>
      <c r="AG26" s="1023">
        <v>9</v>
      </c>
      <c r="AH26" s="1024">
        <v>10</v>
      </c>
    </row>
    <row r="27" spans="1:37" ht="14.25" customHeight="1" thickTop="1" thickBot="1">
      <c r="A27" s="2124"/>
      <c r="B27" s="1053">
        <f>VLOOKUP("Cycle Time",Data!$A:$Y,5,FALSE)</f>
        <v>0</v>
      </c>
      <c r="C27" s="1048">
        <f>VLOOKUP("Offset Time",Data!$A:$Y,5,FALSE)</f>
        <v>0</v>
      </c>
      <c r="D27" s="1048">
        <f>VLOOKUP("Split Number",Data!$A:$Y,5,FALSE)</f>
        <v>4</v>
      </c>
      <c r="E27" s="1049">
        <f>VLOOKUP("Seq Number",Data!$A:$Y,5,FALSE)</f>
        <v>1</v>
      </c>
      <c r="F27" s="1055"/>
      <c r="G27" s="1054"/>
      <c r="H27" s="1050">
        <f>VLOOKUP("Time",Data!$A$2405:$K$2410,2,FALSE)</f>
        <v>0</v>
      </c>
      <c r="I27" s="1051">
        <f>VLOOKUP("Time",Data!$A$2405:$K$2410,3,FALSE)</f>
        <v>0</v>
      </c>
      <c r="J27" s="1051">
        <f>VLOOKUP("Time",Data!$A$2405:$K$2410,4,FALSE)</f>
        <v>0</v>
      </c>
      <c r="K27" s="1051">
        <f>VLOOKUP("Time",Data!$A$2405:$K$2410,5,FALSE)</f>
        <v>0</v>
      </c>
      <c r="L27" s="1051">
        <f>VLOOKUP("Time",Data!$A$2405:$K$2410,6,FALSE)</f>
        <v>0</v>
      </c>
      <c r="M27" s="1051">
        <f>VLOOKUP("Time",Data!$A$2405:$K$2410,7,FALSE)</f>
        <v>0</v>
      </c>
      <c r="N27" s="1051">
        <f>VLOOKUP("Time",Data!$A$2405:$K$2410,8,FALSE)</f>
        <v>0</v>
      </c>
      <c r="O27" s="1051">
        <f>VLOOKUP("Time",Data!$A$2405:$K$2410,9,FALSE)</f>
        <v>0</v>
      </c>
      <c r="P27" s="1051">
        <f>VLOOKUP("Time",Data!$A$2405:$K$2410,10,FALSE)</f>
        <v>0</v>
      </c>
      <c r="Q27" s="1052">
        <f>VLOOKUP("Time",Data!$A$2405:$K$2410,11,FALSE)</f>
        <v>0</v>
      </c>
      <c r="R27" s="2124"/>
      <c r="S27" s="1053">
        <f>VLOOKUP("Cycle Time",Data!$A:$Y,7,FALSE)</f>
        <v>0</v>
      </c>
      <c r="T27" s="1048">
        <f>VLOOKUP("Offset Time",Data!$A:$Y,7,FALSE)</f>
        <v>0</v>
      </c>
      <c r="U27" s="1048">
        <f>VLOOKUP("Split Number",Data!$A:$Y,7,FALSE)</f>
        <v>6</v>
      </c>
      <c r="V27" s="1049">
        <f>VLOOKUP("Seq Number",Data!$A:$Y,7,FALSE)</f>
        <v>1</v>
      </c>
      <c r="W27" s="1055"/>
      <c r="X27" s="1056"/>
      <c r="Y27" s="1051">
        <f>VLOOKUP("Time",Data!$A$2417:$K$2422,2,FALSE)</f>
        <v>0</v>
      </c>
      <c r="Z27" s="1051">
        <f>VLOOKUP("Time",Data!$A$2417:$K$2422,3,FALSE)</f>
        <v>0</v>
      </c>
      <c r="AA27" s="1051">
        <f>VLOOKUP("Time",Data!$A$2417:$K$2422,4,FALSE)</f>
        <v>0</v>
      </c>
      <c r="AB27" s="1051">
        <f>VLOOKUP("Time",Data!$A$2417:$K$2422,5,FALSE)</f>
        <v>0</v>
      </c>
      <c r="AC27" s="1051">
        <f>VLOOKUP("Time",Data!$A$2417:$K$2422,6,FALSE)</f>
        <v>0</v>
      </c>
      <c r="AD27" s="1051">
        <f>VLOOKUP("Time",Data!$A$2417:$K$2422,7,FALSE)</f>
        <v>0</v>
      </c>
      <c r="AE27" s="1051">
        <f>VLOOKUP("Time",Data!$A$2417:$K$2422,8,FALSE)</f>
        <v>0</v>
      </c>
      <c r="AF27" s="1051">
        <f>VLOOKUP("Time",Data!$A$2417:$K$2422,9,FALSE)</f>
        <v>0</v>
      </c>
      <c r="AG27" s="1051">
        <f>VLOOKUP("Time",Data!$A$2417:$K$2422,10,FALSE)</f>
        <v>0</v>
      </c>
      <c r="AH27" s="1052">
        <f>VLOOKUP("Time",Data!$A$2417:$K$2422,11,FALSE)</f>
        <v>0</v>
      </c>
    </row>
    <row r="28" spans="1:37" ht="14.25" customHeight="1">
      <c r="A28" s="2124"/>
      <c r="B28" s="2132"/>
      <c r="C28" s="2133"/>
      <c r="D28" s="2134"/>
      <c r="E28" s="1284" t="s">
        <v>3936</v>
      </c>
      <c r="F28" s="1044"/>
      <c r="G28" s="1046"/>
      <c r="H28" s="1027">
        <f>VLOOKUP("Max Reduce 1",Data!$A:$K,5,FALSE)</f>
        <v>0</v>
      </c>
      <c r="I28" s="1028">
        <f>VLOOKUP("Max Reduce 2",Data!$A:$K,5,FALSE)</f>
        <v>0</v>
      </c>
      <c r="J28" s="1028">
        <f>VLOOKUP("Max Reduce 3",Data!$A:$K,5,FALSE)</f>
        <v>0</v>
      </c>
      <c r="K28" s="1028">
        <f>VLOOKUP("Max Reduce 4",Data!$A:$K,5,FALSE)</f>
        <v>0</v>
      </c>
      <c r="L28" s="1028">
        <f>VLOOKUP("Max Reduce 5",Data!$A:$K,5,FALSE)</f>
        <v>0</v>
      </c>
      <c r="M28" s="1028">
        <f>VLOOKUP("Max Reduce 6",Data!$A:$K,5,FALSE)</f>
        <v>0</v>
      </c>
      <c r="N28" s="1028">
        <f>VLOOKUP("Max Reduce 7",Data!$A:$K,5,FALSE)</f>
        <v>0</v>
      </c>
      <c r="O28" s="1028">
        <f>VLOOKUP("Max Reduce 8",Data!$A:$K,5,FALSE)</f>
        <v>0</v>
      </c>
      <c r="P28" s="1028">
        <f>VLOOKUP("Max Reduce 9",Data!$A:$K,5,FALSE)</f>
        <v>0</v>
      </c>
      <c r="Q28" s="1029">
        <f>VLOOKUP("Max Reduce 10",Data!$A:$K,5,FALSE)</f>
        <v>0</v>
      </c>
      <c r="R28" s="2124"/>
      <c r="S28" s="2132"/>
      <c r="T28" s="2133"/>
      <c r="U28" s="2134"/>
      <c r="V28" s="1284" t="s">
        <v>3936</v>
      </c>
      <c r="W28" s="1044"/>
      <c r="X28" s="1045"/>
      <c r="Y28" s="1027">
        <f>VLOOKUP("Max Reduce 1",Data!$A:$K,7,FALSE)</f>
        <v>0</v>
      </c>
      <c r="Z28" s="1028">
        <f>VLOOKUP("Max Reduce 2",Data!$A:$K,7,FALSE)</f>
        <v>0</v>
      </c>
      <c r="AA28" s="1028">
        <f>VLOOKUP("Max Reduce 3",Data!$A:$K,7,FALSE)</f>
        <v>0</v>
      </c>
      <c r="AB28" s="1028">
        <f>VLOOKUP("Max Reduce 4",Data!$A:$K,7,FALSE)</f>
        <v>0</v>
      </c>
      <c r="AC28" s="1028">
        <f>VLOOKUP("Max Reduce 5",Data!$A:$K,7,FALSE)</f>
        <v>0</v>
      </c>
      <c r="AD28" s="1028">
        <f>VLOOKUP("Max Reduce 6",Data!$A:$K,7,FALSE)</f>
        <v>0</v>
      </c>
      <c r="AE28" s="1028">
        <f>VLOOKUP("Max Reduce 7",Data!$A:$K,7,FALSE)</f>
        <v>0</v>
      </c>
      <c r="AF28" s="1028">
        <f>VLOOKUP("Max Reduce 8",Data!$A:$K,7,FALSE)</f>
        <v>0</v>
      </c>
      <c r="AG28" s="1028">
        <f>VLOOKUP("Max Reduce 9",Data!$A:$K,7,FALSE)</f>
        <v>0</v>
      </c>
      <c r="AH28" s="1029">
        <f>VLOOKUP("Max Reduce 10",Data!$A:$K,7,FALSE)</f>
        <v>0</v>
      </c>
    </row>
    <row r="29" spans="1:37" ht="14.25" customHeight="1" thickBot="1">
      <c r="A29" s="2124"/>
      <c r="B29" s="2135"/>
      <c r="C29" s="2136"/>
      <c r="D29" s="2137"/>
      <c r="E29" s="1285" t="s">
        <v>3937</v>
      </c>
      <c r="F29" s="1041"/>
      <c r="G29" s="1042"/>
      <c r="H29" s="1033">
        <f>VLOOKUP("Max Extend 1",Data!$A:$K,5,FALSE)</f>
        <v>0</v>
      </c>
      <c r="I29" s="1014">
        <f>VLOOKUP("Max Extend 2",Data!$A:$K,5,FALSE)</f>
        <v>0</v>
      </c>
      <c r="J29" s="1014">
        <f>VLOOKUP("Max Extend 3",Data!$A:$K,5,FALSE)</f>
        <v>0</v>
      </c>
      <c r="K29" s="1014">
        <f>VLOOKUP("Max Extend 4",Data!$A:$K,5,FALSE)</f>
        <v>0</v>
      </c>
      <c r="L29" s="1014">
        <f>VLOOKUP("Max Extend 5",Data!$A:$K,5,FALSE)</f>
        <v>0</v>
      </c>
      <c r="M29" s="1014">
        <f>VLOOKUP("Max Extend 6",Data!$A:$K,5,FALSE)</f>
        <v>0</v>
      </c>
      <c r="N29" s="1014">
        <f>VLOOKUP("Max Extend 7",Data!$A:$K,5,FALSE)</f>
        <v>0</v>
      </c>
      <c r="O29" s="1014">
        <f>VLOOKUP("Max Extend 8",Data!$A:$K,5,FALSE)</f>
        <v>0</v>
      </c>
      <c r="P29" s="1014">
        <f>VLOOKUP("Max Extend 9",Data!$A:$K,5,FALSE)</f>
        <v>0</v>
      </c>
      <c r="Q29" s="1292">
        <f>VLOOKUP("Max Extend 10",Data!$A:$K,5,FALSE)</f>
        <v>0</v>
      </c>
      <c r="R29" s="2124"/>
      <c r="S29" s="2135"/>
      <c r="T29" s="2136"/>
      <c r="U29" s="2137"/>
      <c r="V29" s="1285" t="s">
        <v>3937</v>
      </c>
      <c r="W29" s="1041"/>
      <c r="X29" s="1043"/>
      <c r="Y29" s="1033">
        <f>VLOOKUP("Max Extend 1",Data!$A:$K,7,FALSE)</f>
        <v>0</v>
      </c>
      <c r="Z29" s="1014">
        <f>VLOOKUP("Max Extend 2",Data!$A:$K,7,FALSE)</f>
        <v>0</v>
      </c>
      <c r="AA29" s="1014">
        <f>VLOOKUP("Max Extend 3",Data!$A:$K,7,FALSE)</f>
        <v>0</v>
      </c>
      <c r="AB29" s="1014">
        <f>VLOOKUP("Max Extend 4",Data!$A:$K,7,FALSE)</f>
        <v>0</v>
      </c>
      <c r="AC29" s="1014">
        <f>VLOOKUP("Max Extend 5",Data!$A:$K,7,FALSE)</f>
        <v>0</v>
      </c>
      <c r="AD29" s="1014">
        <f>VLOOKUP("Max Extend 6",Data!$A:$K,7,FALSE)</f>
        <v>0</v>
      </c>
      <c r="AE29" s="1014">
        <f>VLOOKUP("Max Extend 7",Data!$A:$K,7,FALSE)</f>
        <v>0</v>
      </c>
      <c r="AF29" s="1014">
        <f>VLOOKUP("Max Extend 8",Data!$A:$K,7,FALSE)</f>
        <v>0</v>
      </c>
      <c r="AG29" s="1014">
        <f>VLOOKUP("Max Extend 9",Data!$A:$K,7,FALSE)</f>
        <v>0</v>
      </c>
      <c r="AH29" s="1292">
        <f>VLOOKUP("Max Extend 10",Data!$A:$K,7,FALSE)</f>
        <v>0</v>
      </c>
    </row>
    <row r="30" spans="1:37" ht="14.25" customHeight="1" thickBot="1">
      <c r="A30" s="2124"/>
      <c r="B30" s="2135"/>
      <c r="C30" s="2136"/>
      <c r="D30" s="2137"/>
      <c r="E30" s="2129" t="s">
        <v>3938</v>
      </c>
      <c r="F30" s="2130"/>
      <c r="G30" s="2131"/>
      <c r="H30" s="1034">
        <v>1</v>
      </c>
      <c r="I30" s="1035">
        <v>2</v>
      </c>
      <c r="J30" s="1035">
        <v>3</v>
      </c>
      <c r="K30" s="1040">
        <v>4</v>
      </c>
      <c r="L30" s="2114"/>
      <c r="M30" s="2115"/>
      <c r="N30" s="2115"/>
      <c r="O30" s="2115"/>
      <c r="P30" s="2115"/>
      <c r="Q30" s="2116"/>
      <c r="R30" s="2124"/>
      <c r="S30" s="2135"/>
      <c r="T30" s="2136"/>
      <c r="U30" s="2137"/>
      <c r="V30" s="2129" t="s">
        <v>3938</v>
      </c>
      <c r="W30" s="2130"/>
      <c r="X30" s="2131"/>
      <c r="Y30" s="1034">
        <v>1</v>
      </c>
      <c r="Z30" s="1035">
        <v>2</v>
      </c>
      <c r="AA30" s="1035">
        <v>3</v>
      </c>
      <c r="AB30" s="1040">
        <v>4</v>
      </c>
      <c r="AC30" s="2114"/>
      <c r="AD30" s="2115"/>
      <c r="AE30" s="2115"/>
      <c r="AF30" s="2115"/>
      <c r="AG30" s="2115"/>
      <c r="AH30" s="2116"/>
    </row>
    <row r="31" spans="1:37" ht="14.25" customHeight="1" thickTop="1">
      <c r="A31" s="2124"/>
      <c r="B31" s="2135"/>
      <c r="C31" s="2136"/>
      <c r="D31" s="2137"/>
      <c r="E31" s="2143" t="s">
        <v>3939</v>
      </c>
      <c r="F31" s="2144"/>
      <c r="G31" s="2145"/>
      <c r="H31" s="1033">
        <f>VLOOKUP("Strategy Number 1",Data!$A:$K,5,FALSE)</f>
        <v>0</v>
      </c>
      <c r="I31" s="1014">
        <f>VLOOKUP("Strategy Number 2",Data!$A:$K,5,FALSE)</f>
        <v>0</v>
      </c>
      <c r="J31" s="1014">
        <f>VLOOKUP("Strategy Number 3",Data!$A:$K,5,FALSE)</f>
        <v>0</v>
      </c>
      <c r="K31" s="1017">
        <f>VLOOKUP("Strategy Number 4",Data!$A:$K,5,FALSE)</f>
        <v>0</v>
      </c>
      <c r="L31" s="2117"/>
      <c r="M31" s="2118"/>
      <c r="N31" s="2118"/>
      <c r="O31" s="2118"/>
      <c r="P31" s="2118"/>
      <c r="Q31" s="2119"/>
      <c r="R31" s="2124"/>
      <c r="S31" s="2135"/>
      <c r="T31" s="2136"/>
      <c r="U31" s="2137"/>
      <c r="V31" s="2143" t="s">
        <v>3939</v>
      </c>
      <c r="W31" s="2144"/>
      <c r="X31" s="2144"/>
      <c r="Y31" s="1014">
        <f>VLOOKUP("Strategy Number 1",Data!$A:$K,7,FALSE)</f>
        <v>0</v>
      </c>
      <c r="Z31" s="1014">
        <f>VLOOKUP("Strategy Number 2",Data!$A:$K,7,FALSE)</f>
        <v>0</v>
      </c>
      <c r="AA31" s="1014">
        <f>VLOOKUP("Strategy Number 3",Data!$A:$K,7,FALSE)</f>
        <v>0</v>
      </c>
      <c r="AB31" s="1017">
        <f>VLOOKUP("Strategy Number 4",Data!$A:$K,7,FALSE)</f>
        <v>0</v>
      </c>
      <c r="AC31" s="2117"/>
      <c r="AD31" s="2118"/>
      <c r="AE31" s="2118"/>
      <c r="AF31" s="2118"/>
      <c r="AG31" s="2118"/>
      <c r="AH31" s="2119"/>
    </row>
    <row r="32" spans="1:37" ht="14.25" customHeight="1">
      <c r="A32" s="2124"/>
      <c r="B32" s="2135"/>
      <c r="C32" s="2136"/>
      <c r="D32" s="2137"/>
      <c r="E32" s="2143" t="s">
        <v>3940</v>
      </c>
      <c r="F32" s="2144"/>
      <c r="G32" s="2145"/>
      <c r="H32" s="1286">
        <f>VLOOKUP("Time Service Desired 1",Data!$A:$K,5,FALSE)</f>
        <v>0</v>
      </c>
      <c r="I32" s="1287">
        <f>VLOOKUP("Time Service Desired 2",Data!$A:$K,5,FALSE)</f>
        <v>0</v>
      </c>
      <c r="J32" s="1287">
        <f>VLOOKUP("Time Service Desired 3",Data!$A:$K,5,FALSE)</f>
        <v>0</v>
      </c>
      <c r="K32" s="1288">
        <f>VLOOKUP("Time Service Desired 4",Data!$A:$K,5,FALSE)</f>
        <v>0</v>
      </c>
      <c r="L32" s="2117"/>
      <c r="M32" s="2118"/>
      <c r="N32" s="2118"/>
      <c r="O32" s="2118"/>
      <c r="P32" s="2118"/>
      <c r="Q32" s="2119"/>
      <c r="R32" s="2124"/>
      <c r="S32" s="2135"/>
      <c r="T32" s="2136"/>
      <c r="U32" s="2137"/>
      <c r="V32" s="2143" t="s">
        <v>3940</v>
      </c>
      <c r="W32" s="2144"/>
      <c r="X32" s="2144"/>
      <c r="Y32" s="1287">
        <f>VLOOKUP("Time Service Desired 1",Data!$A:$K,7,FALSE)</f>
        <v>0</v>
      </c>
      <c r="Z32" s="1287">
        <f>VLOOKUP("Time Service Desired 2",Data!$A:$K,7,FALSE)</f>
        <v>0</v>
      </c>
      <c r="AA32" s="1287">
        <f>VLOOKUP("Time Service Desired 3",Data!$A:$K,7,FALSE)</f>
        <v>0</v>
      </c>
      <c r="AB32" s="1288">
        <f>VLOOKUP("Time Service Desired 4",Data!$A:$K,7,FALSE)</f>
        <v>0</v>
      </c>
      <c r="AC32" s="2117"/>
      <c r="AD32" s="2118"/>
      <c r="AE32" s="2118"/>
      <c r="AF32" s="2118"/>
      <c r="AG32" s="2118"/>
      <c r="AH32" s="2119"/>
    </row>
    <row r="33" spans="1:34" ht="14.25" customHeight="1" thickBot="1">
      <c r="A33" s="2125"/>
      <c r="B33" s="2138"/>
      <c r="C33" s="2139"/>
      <c r="D33" s="2140"/>
      <c r="E33" s="2102" t="s">
        <v>3977</v>
      </c>
      <c r="F33" s="2103"/>
      <c r="G33" s="2104"/>
      <c r="H33" s="1030">
        <f>VLOOKUP("Time Estimated Departure 1",Data!$A:$K,5,FALSE)</f>
        <v>0</v>
      </c>
      <c r="I33" s="1025">
        <f>VLOOKUP("Time Estimated Departure 2",Data!$A:$K,5,FALSE)</f>
        <v>0</v>
      </c>
      <c r="J33" s="1025">
        <f>VLOOKUP("Time Estimated Departure 3",Data!$A:$K,5,FALSE)</f>
        <v>0</v>
      </c>
      <c r="K33" s="1039">
        <f>VLOOKUP("Time Estimated Departure 4",Data!$A:$K,5,FALSE)</f>
        <v>0</v>
      </c>
      <c r="L33" s="2120"/>
      <c r="M33" s="2121"/>
      <c r="N33" s="2121"/>
      <c r="O33" s="2121"/>
      <c r="P33" s="2121"/>
      <c r="Q33" s="2122"/>
      <c r="R33" s="2125"/>
      <c r="S33" s="2138"/>
      <c r="T33" s="2139"/>
      <c r="U33" s="2140"/>
      <c r="V33" s="2102" t="s">
        <v>3977</v>
      </c>
      <c r="W33" s="2103"/>
      <c r="X33" s="2104"/>
      <c r="Y33" s="1025">
        <f>VLOOKUP("Time Estimated Departure 1",Data!$A:$K,7,FALSE)</f>
        <v>0</v>
      </c>
      <c r="Z33" s="1025">
        <f>VLOOKUP("Time Estimated Departure 2",Data!$A:$K,7,FALSE)</f>
        <v>0</v>
      </c>
      <c r="AA33" s="1025">
        <f>VLOOKUP("Time Estimated Departure 3",Data!$A:$K,7,FALSE)</f>
        <v>0</v>
      </c>
      <c r="AB33" s="1039">
        <f>VLOOKUP("Time Estimated Departure 4",Data!$A:$K,7,FALSE)</f>
        <v>0</v>
      </c>
      <c r="AC33" s="2120"/>
      <c r="AD33" s="2121"/>
      <c r="AE33" s="2121"/>
      <c r="AF33" s="2121"/>
      <c r="AG33" s="2121"/>
      <c r="AH33" s="2122"/>
    </row>
    <row r="34" spans="1:34" ht="14.25" customHeight="1" thickBot="1">
      <c r="A34" s="2123">
        <v>5</v>
      </c>
      <c r="B34" s="1026" t="s">
        <v>215</v>
      </c>
      <c r="C34" s="1021" t="s">
        <v>107</v>
      </c>
      <c r="D34" s="1021" t="s">
        <v>216</v>
      </c>
      <c r="E34" s="1022" t="s">
        <v>56</v>
      </c>
      <c r="F34" s="2141" t="s">
        <v>3947</v>
      </c>
      <c r="G34" s="2142"/>
      <c r="H34" s="1031">
        <v>1</v>
      </c>
      <c r="I34" s="1023">
        <v>2</v>
      </c>
      <c r="J34" s="1023">
        <v>3</v>
      </c>
      <c r="K34" s="1023">
        <v>4</v>
      </c>
      <c r="L34" s="1023">
        <v>5</v>
      </c>
      <c r="M34" s="1023">
        <v>6</v>
      </c>
      <c r="N34" s="1023">
        <v>7</v>
      </c>
      <c r="O34" s="1032">
        <v>8</v>
      </c>
      <c r="P34" s="1023">
        <v>9</v>
      </c>
      <c r="Q34" s="1024">
        <v>10</v>
      </c>
      <c r="R34" s="2126" t="s">
        <v>3970</v>
      </c>
      <c r="S34" s="1026" t="s">
        <v>215</v>
      </c>
      <c r="T34" s="1021" t="s">
        <v>107</v>
      </c>
      <c r="U34" s="1021" t="s">
        <v>216</v>
      </c>
      <c r="V34" s="1022" t="s">
        <v>56</v>
      </c>
      <c r="W34" s="2141" t="s">
        <v>3947</v>
      </c>
      <c r="X34" s="2142"/>
      <c r="Y34" s="1031">
        <v>1</v>
      </c>
      <c r="Z34" s="1023">
        <v>2</v>
      </c>
      <c r="AA34" s="1023">
        <v>3</v>
      </c>
      <c r="AB34" s="1023">
        <v>4</v>
      </c>
      <c r="AC34" s="1023">
        <v>5</v>
      </c>
      <c r="AD34" s="1023">
        <v>6</v>
      </c>
      <c r="AE34" s="1023">
        <v>7</v>
      </c>
      <c r="AF34" s="1032">
        <v>8</v>
      </c>
      <c r="AG34" s="1023">
        <v>9</v>
      </c>
      <c r="AH34" s="1024">
        <v>10</v>
      </c>
    </row>
    <row r="35" spans="1:34" ht="14.25" customHeight="1" thickTop="1" thickBot="1">
      <c r="A35" s="2124"/>
      <c r="B35" s="1053">
        <f>VLOOKUP("Cycle Time",Data!$A:$Y,6,FALSE)</f>
        <v>0</v>
      </c>
      <c r="C35" s="1048">
        <f>VLOOKUP("Offset Time",Data!$A:$Y,6,FALSE)</f>
        <v>0</v>
      </c>
      <c r="D35" s="1048">
        <f>VLOOKUP("Split Number",Data!$A:$Y,6,FALSE)</f>
        <v>5</v>
      </c>
      <c r="E35" s="1049">
        <f>VLOOKUP("Seq Number",Data!$A:$Y,6,FALSE)</f>
        <v>1</v>
      </c>
      <c r="F35" s="1055"/>
      <c r="G35" s="1054"/>
      <c r="H35" s="1050">
        <f>VLOOKUP("Time",Data!$A$2411:$K$2416,2,FALSE)</f>
        <v>0</v>
      </c>
      <c r="I35" s="1051">
        <f>VLOOKUP("Time",Data!$A$2411:$K$2416,3,FALSE)</f>
        <v>0</v>
      </c>
      <c r="J35" s="1051">
        <f>VLOOKUP("Time",Data!$A$2411:$K$2416,4,FALSE)</f>
        <v>0</v>
      </c>
      <c r="K35" s="1051">
        <f>VLOOKUP("Time",Data!$A$2411:$K$2416,5,FALSE)</f>
        <v>0</v>
      </c>
      <c r="L35" s="1051">
        <f>VLOOKUP("Time",Data!$A$2411:$K$2416,6,FALSE)</f>
        <v>0</v>
      </c>
      <c r="M35" s="1051">
        <f>VLOOKUP("Time",Data!$A$2411:$K$2416,7,FALSE)</f>
        <v>0</v>
      </c>
      <c r="N35" s="1051">
        <f>VLOOKUP("Time",Data!$A$2411:$K$2416,8,FALSE)</f>
        <v>0</v>
      </c>
      <c r="O35" s="1051">
        <f>VLOOKUP("Time",Data!$A$2411:$K$2416,9,FALSE)</f>
        <v>0</v>
      </c>
      <c r="P35" s="1051">
        <f>VLOOKUP("Time",Data!$A$2411:$K$2416,10,FALSE)</f>
        <v>0</v>
      </c>
      <c r="Q35" s="1052">
        <f>VLOOKUP("Time",Data!$A$2411:$K$2416,11,FALSE)</f>
        <v>0</v>
      </c>
      <c r="R35" s="2127"/>
      <c r="S35" s="1053">
        <f>VLOOKUP("Cycle Time",Data!$A:$Y,10,FALSE)</f>
        <v>0</v>
      </c>
      <c r="T35" s="1048">
        <f>VLOOKUP("Offset Time",Data!$A:$Y,10,FALSE)</f>
        <v>0</v>
      </c>
      <c r="U35" s="1048">
        <f>VLOOKUP("Split Number",Data!$A:$Y,10,FALSE)</f>
        <v>9</v>
      </c>
      <c r="V35" s="1049">
        <f>VLOOKUP("Seq Number",Data!$A:$Y,10,FALSE)</f>
        <v>1</v>
      </c>
      <c r="W35" s="1055"/>
      <c r="X35" s="1056"/>
      <c r="Y35" s="1051">
        <f>VLOOKUP("Time",Data!$A$2435:$K$2440,2,FALSE)</f>
        <v>30</v>
      </c>
      <c r="Z35" s="1051">
        <f>VLOOKUP("Time",Data!$A$2435:$K$2440,3,FALSE)</f>
        <v>40</v>
      </c>
      <c r="AA35" s="1051">
        <f>VLOOKUP("Time",Data!$A$2435:$K$2440,4,FALSE)</f>
        <v>35</v>
      </c>
      <c r="AB35" s="1051">
        <f>VLOOKUP("Time",Data!$A$2435:$K$2440,5,FALSE)</f>
        <v>55</v>
      </c>
      <c r="AC35" s="1051">
        <f>VLOOKUP("Time",Data!$A$2435:$K$2440,6,FALSE)</f>
        <v>40</v>
      </c>
      <c r="AD35" s="1051">
        <f>VLOOKUP("Time",Data!$A$2435:$K$2440,7,FALSE)</f>
        <v>40</v>
      </c>
      <c r="AE35" s="1051">
        <f>VLOOKUP("Time",Data!$A$2435:$K$2440,8,FALSE)</f>
        <v>35</v>
      </c>
      <c r="AF35" s="1051">
        <f>VLOOKUP("Time",Data!$A$2435:$K$2440,9,FALSE)</f>
        <v>55</v>
      </c>
      <c r="AG35" s="1051">
        <f>VLOOKUP("Time",Data!$A$2435:$K$2440,10,FALSE)</f>
        <v>0</v>
      </c>
      <c r="AH35" s="1052">
        <f>VLOOKUP("Time",Data!$A$2435:$K$2440,11,FALSE)</f>
        <v>0</v>
      </c>
    </row>
    <row r="36" spans="1:34" ht="14.25" customHeight="1">
      <c r="A36" s="2124"/>
      <c r="B36" s="2132"/>
      <c r="C36" s="2133"/>
      <c r="D36" s="2134"/>
      <c r="E36" s="1284" t="s">
        <v>3936</v>
      </c>
      <c r="F36" s="1044"/>
      <c r="G36" s="1046"/>
      <c r="H36" s="1027">
        <f>VLOOKUP("Max Reduce 1",Data!$A:$K,6,FALSE)</f>
        <v>0</v>
      </c>
      <c r="I36" s="1028">
        <f>VLOOKUP("Max Reduce 2",Data!$A:$K,6,FALSE)</f>
        <v>0</v>
      </c>
      <c r="J36" s="1028">
        <f>VLOOKUP("Max Reduce 3",Data!$A:$K,6,FALSE)</f>
        <v>0</v>
      </c>
      <c r="K36" s="1028">
        <f>VLOOKUP("Max Reduce 4",Data!$A:$K,6,FALSE)</f>
        <v>0</v>
      </c>
      <c r="L36" s="1028">
        <f>VLOOKUP("Max Reduce 5",Data!$A:$K,6,FALSE)</f>
        <v>0</v>
      </c>
      <c r="M36" s="1028">
        <f>VLOOKUP("Max Reduce 6",Data!$A:$K,6,FALSE)</f>
        <v>0</v>
      </c>
      <c r="N36" s="1028">
        <f>VLOOKUP("Max Reduce 7",Data!$A:$K,6,FALSE)</f>
        <v>0</v>
      </c>
      <c r="O36" s="1028">
        <f>VLOOKUP("Max Reduce 8",Data!$A:$K,6,FALSE)</f>
        <v>0</v>
      </c>
      <c r="P36" s="1028">
        <f>VLOOKUP("Max Reduce 9",Data!$A:$K,6,FALSE)</f>
        <v>0</v>
      </c>
      <c r="Q36" s="1029">
        <f>VLOOKUP("Max Reduce 10",Data!$A:$K,6,FALSE)</f>
        <v>0</v>
      </c>
      <c r="R36" s="2127"/>
      <c r="S36" s="2132"/>
      <c r="T36" s="2133"/>
      <c r="U36" s="2134"/>
      <c r="V36" s="1284" t="s">
        <v>3936</v>
      </c>
      <c r="W36" s="1044"/>
      <c r="X36" s="1045"/>
      <c r="Y36" s="1027">
        <f>VLOOKUP("Max Reduce 1",Data!$A:$K,10,FALSE)</f>
        <v>1</v>
      </c>
      <c r="Z36" s="1028">
        <f>VLOOKUP("Max Reduce 2",Data!$A:$K,10,FALSE)</f>
        <v>0</v>
      </c>
      <c r="AA36" s="1028">
        <f>VLOOKUP("Max Reduce 3",Data!$A:$K,10,FALSE)</f>
        <v>1</v>
      </c>
      <c r="AB36" s="1028">
        <f>VLOOKUP("Max Reduce 4",Data!$A:$K,10,FALSE)</f>
        <v>1</v>
      </c>
      <c r="AC36" s="1028">
        <f>VLOOKUP("Max Reduce 5",Data!$A:$K,10,FALSE)</f>
        <v>1</v>
      </c>
      <c r="AD36" s="1028">
        <f>VLOOKUP("Max Reduce 6",Data!$A:$K,10,FALSE)</f>
        <v>0</v>
      </c>
      <c r="AE36" s="1028">
        <f>VLOOKUP("Max Reduce 7",Data!$A:$K,10,FALSE)</f>
        <v>1</v>
      </c>
      <c r="AF36" s="1028">
        <f>VLOOKUP("Max Reduce 8",Data!$A:$K,10,FALSE)</f>
        <v>1</v>
      </c>
      <c r="AG36" s="1028">
        <f>VLOOKUP("Max Reduce 9",Data!$A:$K,10,FALSE)</f>
        <v>0</v>
      </c>
      <c r="AH36" s="1029">
        <f>VLOOKUP("Max Reduce 10",Data!$A:$K,10,FALSE)</f>
        <v>0</v>
      </c>
    </row>
    <row r="37" spans="1:34" ht="14.25" customHeight="1" thickBot="1">
      <c r="A37" s="2124"/>
      <c r="B37" s="2135"/>
      <c r="C37" s="2136"/>
      <c r="D37" s="2137"/>
      <c r="E37" s="1285" t="s">
        <v>3937</v>
      </c>
      <c r="F37" s="1041"/>
      <c r="G37" s="1042"/>
      <c r="H37" s="1033">
        <f>VLOOKUP("Max Extend 1",Data!$A:$K,6,FALSE)</f>
        <v>0</v>
      </c>
      <c r="I37" s="1014">
        <f>VLOOKUP("Max Extend 2",Data!$A:$K,6,FALSE)</f>
        <v>0</v>
      </c>
      <c r="J37" s="1014">
        <f>VLOOKUP("Max Extend 3",Data!$A:$K,6,FALSE)</f>
        <v>0</v>
      </c>
      <c r="K37" s="1014">
        <f>VLOOKUP("Max Extend 4",Data!$A:$K,6,FALSE)</f>
        <v>0</v>
      </c>
      <c r="L37" s="1014">
        <f>VLOOKUP("Max Extend 5",Data!$A:$K,6,FALSE)</f>
        <v>0</v>
      </c>
      <c r="M37" s="1014">
        <f>VLOOKUP("Max Extend 6",Data!$A:$K,6,FALSE)</f>
        <v>0</v>
      </c>
      <c r="N37" s="1014">
        <f>VLOOKUP("Max Extend 7",Data!$A:$K,6,FALSE)</f>
        <v>0</v>
      </c>
      <c r="O37" s="1014">
        <f>VLOOKUP("Max Extend 8",Data!$A:$K,6,FALSE)</f>
        <v>0</v>
      </c>
      <c r="P37" s="1014">
        <f>VLOOKUP("Max Extend 9",Data!$A:$K,6,FALSE)</f>
        <v>0</v>
      </c>
      <c r="Q37" s="1292">
        <f>VLOOKUP("Max Extend 10",Data!$A:$K,6,FALSE)</f>
        <v>0</v>
      </c>
      <c r="R37" s="2127"/>
      <c r="S37" s="2135"/>
      <c r="T37" s="2136"/>
      <c r="U37" s="2137"/>
      <c r="V37" s="1285" t="s">
        <v>3937</v>
      </c>
      <c r="W37" s="1041"/>
      <c r="X37" s="1043"/>
      <c r="Y37" s="1033">
        <f>VLOOKUP("Max Extend 1",Data!$A:$K,10,FALSE)</f>
        <v>0</v>
      </c>
      <c r="Z37" s="1014">
        <f>VLOOKUP("Max Extend 2",Data!$A:$K,10,FALSE)</f>
        <v>17</v>
      </c>
      <c r="AA37" s="1014">
        <f>VLOOKUP("Max Extend 3",Data!$A:$K,10,FALSE)</f>
        <v>0</v>
      </c>
      <c r="AB37" s="1014">
        <f>VLOOKUP("Max Extend 4",Data!$A:$K,10,FALSE)</f>
        <v>0</v>
      </c>
      <c r="AC37" s="1014">
        <f>VLOOKUP("Max Extend 5",Data!$A:$K,10,FALSE)</f>
        <v>0</v>
      </c>
      <c r="AD37" s="1014">
        <f>VLOOKUP("Max Extend 6",Data!$A:$K,10,FALSE)</f>
        <v>17</v>
      </c>
      <c r="AE37" s="1014">
        <f>VLOOKUP("Max Extend 7",Data!$A:$K,10,FALSE)</f>
        <v>0</v>
      </c>
      <c r="AF37" s="1014">
        <f>VLOOKUP("Max Extend 8",Data!$A:$K,10,FALSE)</f>
        <v>0</v>
      </c>
      <c r="AG37" s="1014">
        <f>VLOOKUP("Max Extend 9",Data!$A:$K,10,FALSE)</f>
        <v>0</v>
      </c>
      <c r="AH37" s="1292">
        <f>VLOOKUP("Max Extend 10",Data!$A:$K,10,FALSE)</f>
        <v>0</v>
      </c>
    </row>
    <row r="38" spans="1:34" ht="14.25" customHeight="1" thickBot="1">
      <c r="A38" s="2124"/>
      <c r="B38" s="2135"/>
      <c r="C38" s="2136"/>
      <c r="D38" s="2137"/>
      <c r="E38" s="2129" t="s">
        <v>3938</v>
      </c>
      <c r="F38" s="2130"/>
      <c r="G38" s="2131"/>
      <c r="H38" s="1034">
        <v>1</v>
      </c>
      <c r="I38" s="1035">
        <v>2</v>
      </c>
      <c r="J38" s="1035">
        <v>3</v>
      </c>
      <c r="K38" s="1040">
        <v>4</v>
      </c>
      <c r="L38" s="2114"/>
      <c r="M38" s="2115"/>
      <c r="N38" s="2115"/>
      <c r="O38" s="2115"/>
      <c r="P38" s="2115"/>
      <c r="Q38" s="2116"/>
      <c r="R38" s="2127"/>
      <c r="S38" s="2135"/>
      <c r="T38" s="2136"/>
      <c r="U38" s="2137"/>
      <c r="V38" s="2129" t="s">
        <v>3938</v>
      </c>
      <c r="W38" s="2130"/>
      <c r="X38" s="2131"/>
      <c r="Y38" s="1034">
        <v>1</v>
      </c>
      <c r="Z38" s="1035">
        <v>2</v>
      </c>
      <c r="AA38" s="1035">
        <v>3</v>
      </c>
      <c r="AB38" s="1040">
        <v>4</v>
      </c>
      <c r="AC38" s="2105" t="s">
        <v>3959</v>
      </c>
      <c r="AD38" s="2106"/>
      <c r="AE38" s="2106"/>
      <c r="AF38" s="2106"/>
      <c r="AG38" s="2106"/>
      <c r="AH38" s="2107"/>
    </row>
    <row r="39" spans="1:34" ht="14.25" customHeight="1" thickTop="1">
      <c r="A39" s="2124"/>
      <c r="B39" s="2135"/>
      <c r="C39" s="2136"/>
      <c r="D39" s="2137"/>
      <c r="E39" s="2143" t="s">
        <v>3939</v>
      </c>
      <c r="F39" s="2144"/>
      <c r="G39" s="2145"/>
      <c r="H39" s="1033">
        <f>VLOOKUP("Strategy Number 1",Data!$A:$K,6,FALSE)</f>
        <v>0</v>
      </c>
      <c r="I39" s="1014">
        <f>VLOOKUP("Strategy Number 2",Data!$A:$K,6,FALSE)</f>
        <v>0</v>
      </c>
      <c r="J39" s="1014">
        <f>VLOOKUP("Strategy Number 3",Data!$A:$K,6,FALSE)</f>
        <v>0</v>
      </c>
      <c r="K39" s="1017">
        <f>VLOOKUP("Strategy Number 4",Data!$A:$K,6,FALSE)</f>
        <v>0</v>
      </c>
      <c r="L39" s="2117"/>
      <c r="M39" s="2118"/>
      <c r="N39" s="2118"/>
      <c r="O39" s="2118"/>
      <c r="P39" s="2118"/>
      <c r="Q39" s="2119"/>
      <c r="R39" s="2127"/>
      <c r="S39" s="2135"/>
      <c r="T39" s="2136"/>
      <c r="U39" s="2137"/>
      <c r="V39" s="2143" t="s">
        <v>3939</v>
      </c>
      <c r="W39" s="2144"/>
      <c r="X39" s="2144"/>
      <c r="Y39" s="1014">
        <f>VLOOKUP("Strategy Number 1",Data!$A:$K,10,FALSE)</f>
        <v>1</v>
      </c>
      <c r="Z39" s="1014">
        <f>VLOOKUP("Strategy Number 2",Data!$A:$K,10,FALSE)</f>
        <v>0</v>
      </c>
      <c r="AA39" s="1014">
        <f>VLOOKUP("Strategy Number 3",Data!$A:$K,10,FALSE)</f>
        <v>2</v>
      </c>
      <c r="AB39" s="1017">
        <f>VLOOKUP("Strategy Number 4",Data!$A:$K,10,FALSE)</f>
        <v>0</v>
      </c>
      <c r="AC39" s="2108"/>
      <c r="AD39" s="2109"/>
      <c r="AE39" s="2109"/>
      <c r="AF39" s="2109"/>
      <c r="AG39" s="2109"/>
      <c r="AH39" s="2110"/>
    </row>
    <row r="40" spans="1:34" ht="14.25" customHeight="1">
      <c r="A40" s="2124"/>
      <c r="B40" s="2135"/>
      <c r="C40" s="2136"/>
      <c r="D40" s="2137"/>
      <c r="E40" s="2143" t="s">
        <v>3940</v>
      </c>
      <c r="F40" s="2144"/>
      <c r="G40" s="2145"/>
      <c r="H40" s="1286">
        <f>VLOOKUP("Time Service Desired 1",Data!$A:$K,6,FALSE)</f>
        <v>0</v>
      </c>
      <c r="I40" s="1287">
        <f>VLOOKUP("Time Service Desired 2",Data!$A:$K,6,FALSE)</f>
        <v>0</v>
      </c>
      <c r="J40" s="1287">
        <f>VLOOKUP("Time Service Desired 3",Data!$A:$K,6,FALSE)</f>
        <v>0</v>
      </c>
      <c r="K40" s="1288">
        <f>VLOOKUP("Time Service Desired 4",Data!$A:$K,6,FALSE)</f>
        <v>0</v>
      </c>
      <c r="L40" s="2117"/>
      <c r="M40" s="2118"/>
      <c r="N40" s="2118"/>
      <c r="O40" s="2118"/>
      <c r="P40" s="2118"/>
      <c r="Q40" s="2119"/>
      <c r="R40" s="2127"/>
      <c r="S40" s="2135"/>
      <c r="T40" s="2136"/>
      <c r="U40" s="2137"/>
      <c r="V40" s="2143" t="s">
        <v>3940</v>
      </c>
      <c r="W40" s="2144"/>
      <c r="X40" s="2144"/>
      <c r="Y40" s="1287">
        <f>VLOOKUP("Time Service Desired 1",Data!$A:$K,10,FALSE)</f>
        <v>135</v>
      </c>
      <c r="Z40" s="1287">
        <f>VLOOKUP("Time Service Desired 2",Data!$A:$K,10,FALSE)</f>
        <v>0</v>
      </c>
      <c r="AA40" s="1287">
        <f>VLOOKUP("Time Service Desired 3",Data!$A:$K,10,FALSE)</f>
        <v>135</v>
      </c>
      <c r="AB40" s="1288">
        <f>VLOOKUP("Time Service Desired 4",Data!$A:$K,10,FALSE)</f>
        <v>0</v>
      </c>
      <c r="AC40" s="2108"/>
      <c r="AD40" s="2109"/>
      <c r="AE40" s="2109"/>
      <c r="AF40" s="2109"/>
      <c r="AG40" s="2109"/>
      <c r="AH40" s="2110"/>
    </row>
    <row r="41" spans="1:34" ht="14.25" customHeight="1" thickBot="1">
      <c r="A41" s="2125"/>
      <c r="B41" s="2138"/>
      <c r="C41" s="2139"/>
      <c r="D41" s="2140"/>
      <c r="E41" s="2102" t="s">
        <v>3977</v>
      </c>
      <c r="F41" s="2103"/>
      <c r="G41" s="2104"/>
      <c r="H41" s="1289">
        <f>VLOOKUP("Time Estimated Departure 1",Data!$A:$K,6,FALSE)</f>
        <v>0</v>
      </c>
      <c r="I41" s="1290">
        <f>VLOOKUP("Time Estimated Departure 2",Data!$A:$K,6,FALSE)</f>
        <v>0</v>
      </c>
      <c r="J41" s="1290">
        <f>VLOOKUP("Time Estimated Departure 3",Data!$A:$K,6,FALSE)</f>
        <v>0</v>
      </c>
      <c r="K41" s="1291">
        <f>VLOOKUP("Time Estimated Departure 4",Data!$A:$K,6,FALSE)</f>
        <v>0</v>
      </c>
      <c r="L41" s="2120"/>
      <c r="M41" s="2121"/>
      <c r="N41" s="2121"/>
      <c r="O41" s="2121"/>
      <c r="P41" s="2121"/>
      <c r="Q41" s="2122"/>
      <c r="R41" s="2128"/>
      <c r="S41" s="2138"/>
      <c r="T41" s="2139"/>
      <c r="U41" s="2140"/>
      <c r="V41" s="2102" t="s">
        <v>3977</v>
      </c>
      <c r="W41" s="2103"/>
      <c r="X41" s="2104"/>
      <c r="Y41" s="1025">
        <f>VLOOKUP("Time Estimated Departure 1",Data!$A:$K,10,FALSE)</f>
        <v>135</v>
      </c>
      <c r="Z41" s="1025">
        <f>VLOOKUP("Time Estimated Departure 2",Data!$A:$K,10,FALSE)</f>
        <v>0</v>
      </c>
      <c r="AA41" s="1025">
        <f>VLOOKUP("Time Estimated Departure 3",Data!$A:$K,10,FALSE)</f>
        <v>135</v>
      </c>
      <c r="AB41" s="1039">
        <f>VLOOKUP("Time Estimated Departure 4",Data!$A:$K,10,FALSE)</f>
        <v>0</v>
      </c>
      <c r="AC41" s="2111"/>
      <c r="AD41" s="2112"/>
      <c r="AE41" s="2112"/>
      <c r="AF41" s="2112"/>
      <c r="AG41" s="2112"/>
      <c r="AH41" s="2113"/>
    </row>
    <row r="42" spans="1:34">
      <c r="A42" s="1010"/>
      <c r="F42" s="1010"/>
      <c r="R42" s="1010"/>
    </row>
    <row r="43" spans="1:34">
      <c r="A43" s="1010"/>
      <c r="F43" s="1010"/>
      <c r="R43" s="1010"/>
    </row>
    <row r="44" spans="1:34">
      <c r="A44" s="1010"/>
      <c r="F44" s="1010"/>
      <c r="R44" s="1010"/>
    </row>
    <row r="45" spans="1:34">
      <c r="A45" s="1010"/>
      <c r="F45" s="1010"/>
      <c r="R45" s="1010"/>
    </row>
    <row r="46" spans="1:34" ht="13.5" customHeight="1">
      <c r="A46" s="1010"/>
      <c r="F46" s="1010"/>
      <c r="R46" s="1010"/>
    </row>
    <row r="47" spans="1:34">
      <c r="A47" s="1010"/>
      <c r="F47" s="1010"/>
      <c r="R47" s="1010"/>
    </row>
    <row r="48" spans="1:34">
      <c r="A48" s="1010"/>
      <c r="F48" s="1010"/>
      <c r="R48" s="1010"/>
    </row>
    <row r="49" s="1010" customFormat="1" ht="13.5" customHeight="1"/>
    <row r="50" s="1010" customFormat="1"/>
    <row r="51" s="1010" customFormat="1" ht="12.75" customHeight="1"/>
    <row r="52" s="1010" customFormat="1" ht="12.75" customHeight="1"/>
    <row r="53" s="1010" customFormat="1" ht="13.5" customHeight="1"/>
    <row r="54" s="1010" customFormat="1" ht="12.75" customHeight="1"/>
    <row r="55" s="1010" customFormat="1" ht="12.75" customHeight="1"/>
    <row r="56" s="1010" customFormat="1" ht="12.75" customHeight="1"/>
    <row r="57" s="1010" customFormat="1" ht="12.75" customHeight="1"/>
    <row r="58" s="1010" customFormat="1" ht="12.75" customHeight="1"/>
    <row r="59" s="1010" customFormat="1" ht="12.75" customHeight="1"/>
    <row r="60" s="1010" customFormat="1" ht="13.5" customHeight="1"/>
    <row r="61" s="1010" customFormat="1" ht="13.5" customHeight="1"/>
    <row r="62" s="1010" customFormat="1" ht="13.5" customHeight="1"/>
    <row r="63" s="1010" customFormat="1"/>
    <row r="64" s="1010" customFormat="1"/>
    <row r="65" s="1010" customFormat="1"/>
    <row r="66" s="1010" customFormat="1"/>
    <row r="67" s="1010" customFormat="1"/>
    <row r="68" s="1010" customFormat="1"/>
    <row r="69" s="1010" customFormat="1"/>
    <row r="70" s="1010" customFormat="1"/>
    <row r="71" s="1010" customFormat="1"/>
    <row r="72" s="1010" customFormat="1"/>
    <row r="73" s="1010" customFormat="1"/>
    <row r="74" s="1010" customFormat="1"/>
    <row r="75" s="1010" customFormat="1"/>
    <row r="76" s="1010" customFormat="1"/>
    <row r="77" s="1010" customFormat="1"/>
    <row r="78" s="1010" customFormat="1"/>
    <row r="79" s="1010" customFormat="1"/>
    <row r="80" s="1010" customFormat="1"/>
    <row r="81" s="1010" customFormat="1"/>
    <row r="82" s="1010" customFormat="1"/>
    <row r="83" s="1010" customFormat="1"/>
    <row r="84" s="1010" customFormat="1"/>
    <row r="85" s="1010" customFormat="1"/>
    <row r="86" s="1010" customFormat="1"/>
    <row r="87" s="1010" customFormat="1"/>
    <row r="88" s="1010" customFormat="1"/>
    <row r="89" s="1010" customFormat="1"/>
    <row r="90" s="1010" customFormat="1"/>
    <row r="91" s="1010" customFormat="1"/>
    <row r="92" s="1010" customFormat="1"/>
    <row r="93" s="1010" customFormat="1"/>
    <row r="94" s="1010" customFormat="1"/>
    <row r="95" s="1010" customFormat="1"/>
    <row r="96" s="1010" customFormat="1"/>
    <row r="97" s="1010" customFormat="1"/>
    <row r="98" s="1010" customFormat="1"/>
    <row r="99" s="1010" customFormat="1"/>
    <row r="100" s="1010" customFormat="1"/>
    <row r="101" s="1010" customFormat="1"/>
    <row r="102" s="1010" customFormat="1"/>
    <row r="103" s="1010" customFormat="1"/>
    <row r="104" s="1010" customFormat="1"/>
    <row r="105" s="1010" customFormat="1"/>
    <row r="106" s="1010" customFormat="1"/>
    <row r="107" s="1010" customFormat="1"/>
    <row r="108" s="1010" customFormat="1"/>
    <row r="109" s="1010" customFormat="1"/>
    <row r="110" s="1010" customFormat="1"/>
    <row r="111" s="1010" customFormat="1"/>
    <row r="112" s="1010" customFormat="1"/>
    <row r="113" s="1010" customFormat="1"/>
    <row r="114" s="1010" customFormat="1"/>
    <row r="115" s="1010" customFormat="1"/>
    <row r="116" s="1010" customFormat="1"/>
    <row r="117" s="1010" customFormat="1"/>
    <row r="118" s="1010" customFormat="1"/>
    <row r="119" s="1010" customFormat="1"/>
    <row r="120" s="1010" customFormat="1"/>
    <row r="121" s="1010" customFormat="1"/>
    <row r="122" s="1010" customFormat="1"/>
    <row r="123" s="1010" customFormat="1"/>
  </sheetData>
  <mergeCells count="92">
    <mergeCell ref="R4:T4"/>
    <mergeCell ref="Z4:AB4"/>
    <mergeCell ref="A3:A9"/>
    <mergeCell ref="R3:T3"/>
    <mergeCell ref="L6:Q9"/>
    <mergeCell ref="R1:AH1"/>
    <mergeCell ref="A1:Q1"/>
    <mergeCell ref="B4:D9"/>
    <mergeCell ref="F3:G3"/>
    <mergeCell ref="F2:G2"/>
    <mergeCell ref="R5:T5"/>
    <mergeCell ref="Z5:AB5"/>
    <mergeCell ref="E6:G6"/>
    <mergeCell ref="R6:T6"/>
    <mergeCell ref="Z6:AB6"/>
    <mergeCell ref="E7:G7"/>
    <mergeCell ref="E8:G8"/>
    <mergeCell ref="E9:G9"/>
    <mergeCell ref="R9:T9"/>
    <mergeCell ref="Z9:AB9"/>
    <mergeCell ref="Z3:AB3"/>
    <mergeCell ref="Z17:AB17"/>
    <mergeCell ref="A10:A17"/>
    <mergeCell ref="R10:T10"/>
    <mergeCell ref="Z10:AB10"/>
    <mergeCell ref="R11:T11"/>
    <mergeCell ref="Z11:AB11"/>
    <mergeCell ref="R12:T12"/>
    <mergeCell ref="Z12:AB12"/>
    <mergeCell ref="L14:Q17"/>
    <mergeCell ref="B12:D17"/>
    <mergeCell ref="F11:G11"/>
    <mergeCell ref="F10:G10"/>
    <mergeCell ref="Z15:AB15"/>
    <mergeCell ref="E16:G16"/>
    <mergeCell ref="R16:T16"/>
    <mergeCell ref="Z16:AB16"/>
    <mergeCell ref="E24:G24"/>
    <mergeCell ref="R24:T24"/>
    <mergeCell ref="E14:G14"/>
    <mergeCell ref="E15:G15"/>
    <mergeCell ref="R15:T15"/>
    <mergeCell ref="R17:T17"/>
    <mergeCell ref="E17:G17"/>
    <mergeCell ref="V32:X32"/>
    <mergeCell ref="E33:G33"/>
    <mergeCell ref="A18:A25"/>
    <mergeCell ref="R18:T18"/>
    <mergeCell ref="Z18:AB18"/>
    <mergeCell ref="R21:T21"/>
    <mergeCell ref="Z21:AB21"/>
    <mergeCell ref="L22:Q25"/>
    <mergeCell ref="B20:D25"/>
    <mergeCell ref="F18:G18"/>
    <mergeCell ref="E22:G22"/>
    <mergeCell ref="R22:T22"/>
    <mergeCell ref="Z22:AB22"/>
    <mergeCell ref="E23:G23"/>
    <mergeCell ref="R23:T23"/>
    <mergeCell ref="Z23:AB23"/>
    <mergeCell ref="V40:X40"/>
    <mergeCell ref="E41:G41"/>
    <mergeCell ref="Z24:AB24"/>
    <mergeCell ref="E25:G25"/>
    <mergeCell ref="A26:A33"/>
    <mergeCell ref="R26:R33"/>
    <mergeCell ref="E30:G30"/>
    <mergeCell ref="L30:Q33"/>
    <mergeCell ref="B28:D33"/>
    <mergeCell ref="S28:U33"/>
    <mergeCell ref="F26:G26"/>
    <mergeCell ref="W26:X26"/>
    <mergeCell ref="V30:X30"/>
    <mergeCell ref="E31:G31"/>
    <mergeCell ref="V31:X31"/>
    <mergeCell ref="E32:G32"/>
    <mergeCell ref="V41:X41"/>
    <mergeCell ref="AC38:AH41"/>
    <mergeCell ref="V33:X33"/>
    <mergeCell ref="AC30:AH33"/>
    <mergeCell ref="A34:A41"/>
    <mergeCell ref="R34:R41"/>
    <mergeCell ref="E38:G38"/>
    <mergeCell ref="L38:Q41"/>
    <mergeCell ref="B36:D41"/>
    <mergeCell ref="S36:U41"/>
    <mergeCell ref="F34:G34"/>
    <mergeCell ref="W34:X34"/>
    <mergeCell ref="V38:X38"/>
    <mergeCell ref="E39:G39"/>
    <mergeCell ref="V39:X39"/>
    <mergeCell ref="E40:G40"/>
  </mergeCells>
  <conditionalFormatting sqref="A2:E2 B10:E10 B18:E18 B26:E26 B34:E34 S34:V34 S26:V26">
    <cfRule type="cellIs" dxfId="45" priority="5" stopIfTrue="1" operator="equal">
      <formula>0</formula>
    </cfRule>
  </conditionalFormatting>
  <printOptions horizontalCentered="1"/>
  <pageMargins left="0.12" right="0.12" top="0.12" bottom="0.12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48"/>
  </sheetPr>
  <dimension ref="A1:AV64"/>
  <sheetViews>
    <sheetView zoomScale="101" zoomScaleNormal="101" zoomScaleSheetLayoutView="100" workbookViewId="0">
      <selection activeCell="J13" sqref="J13"/>
    </sheetView>
  </sheetViews>
  <sheetFormatPr defaultRowHeight="13.2"/>
  <cols>
    <col min="1" max="1" width="2.6640625" customWidth="1"/>
    <col min="2" max="4" width="3.33203125" style="71" customWidth="1"/>
    <col min="5" max="12" width="3.109375" customWidth="1"/>
    <col min="13" max="14" width="3.33203125" customWidth="1"/>
    <col min="15" max="15" width="1.109375" customWidth="1"/>
    <col min="16" max="16" width="6.44140625" bestFit="1" customWidth="1"/>
    <col min="17" max="17" width="4.88671875" customWidth="1"/>
    <col min="18" max="18" width="5.88671875" bestFit="1" customWidth="1"/>
    <col min="19" max="19" width="6.44140625" bestFit="1" customWidth="1"/>
    <col min="20" max="22" width="5.6640625" customWidth="1"/>
    <col min="23" max="23" width="6.33203125" customWidth="1"/>
    <col min="24" max="24" width="6.88671875" bestFit="1" customWidth="1"/>
    <col min="25" max="25" width="0.6640625" customWidth="1"/>
    <col min="26" max="27" width="4.109375" customWidth="1"/>
    <col min="28" max="40" width="4" customWidth="1"/>
  </cols>
  <sheetData>
    <row r="1" spans="1:48" ht="15.75" customHeight="1" thickBot="1">
      <c r="A1" s="537"/>
      <c r="B1" s="538" t="s">
        <v>662</v>
      </c>
      <c r="C1" s="539"/>
      <c r="D1" s="539"/>
      <c r="E1" s="540"/>
      <c r="F1" s="540"/>
      <c r="G1" s="540"/>
      <c r="H1" s="540"/>
      <c r="I1" s="540"/>
      <c r="J1" s="540"/>
      <c r="K1" s="540"/>
      <c r="L1" s="540"/>
      <c r="M1" s="540"/>
      <c r="N1" s="541"/>
      <c r="O1" s="219"/>
      <c r="P1" s="2192" t="s">
        <v>1054</v>
      </c>
      <c r="Q1" s="2193"/>
      <c r="R1" s="2193"/>
      <c r="S1" s="2193"/>
      <c r="T1" s="2193"/>
      <c r="U1" s="2193"/>
      <c r="V1" s="2193"/>
      <c r="W1" s="2193"/>
      <c r="X1" s="2194"/>
      <c r="Y1" s="191"/>
      <c r="Z1" s="455" t="s">
        <v>1059</v>
      </c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22"/>
      <c r="AO1" s="45"/>
      <c r="AP1" s="45"/>
      <c r="AQ1" s="45"/>
      <c r="AR1" s="45"/>
      <c r="AS1" s="45"/>
      <c r="AT1" s="45"/>
      <c r="AU1" s="45"/>
      <c r="AV1" s="45"/>
    </row>
    <row r="2" spans="1:48" ht="11.85" customHeight="1" thickBot="1">
      <c r="A2" s="542"/>
      <c r="B2" s="56" t="s">
        <v>230</v>
      </c>
      <c r="C2" s="53"/>
      <c r="D2" s="54"/>
      <c r="E2" s="686">
        <f>VLOOKUP("Included P1",Data!$A$1177:$I$1226,2,FALSE)</f>
        <v>0</v>
      </c>
      <c r="F2" s="687">
        <f>VLOOKUP("Included P2",Data!$A$1177:$I$1226,2,FALSE)</f>
        <v>0</v>
      </c>
      <c r="G2" s="687">
        <f>VLOOKUP("Included P3",Data!$A$1177:$I$1226,2,FALSE)</f>
        <v>0</v>
      </c>
      <c r="H2" s="687">
        <f>VLOOKUP("Included P4",Data!$A$1177:$I$1226,2,FALSE)</f>
        <v>0</v>
      </c>
      <c r="I2" s="687">
        <f>VLOOKUP("Included P5",Data!$A$1177:$I$1226,2,FALSE)</f>
        <v>0</v>
      </c>
      <c r="J2" s="687">
        <f>VLOOKUP("Included P6",Data!$A$1177:$I$1226,2,FALSE)</f>
        <v>0</v>
      </c>
      <c r="K2" s="687">
        <f>VLOOKUP("Included P7",Data!$A$1177:$I$1226,2,FALSE)</f>
        <v>0</v>
      </c>
      <c r="L2" s="688">
        <f>VLOOKUP("Included P8",Data!$A$1177:$I$1226,2,FALSE)</f>
        <v>0</v>
      </c>
      <c r="M2" s="2186" t="str">
        <f>VLOOKUP("Type",Data!$A$1197:$I$1197,2,FALSE)</f>
        <v>NORMAL</v>
      </c>
      <c r="N2" s="2187"/>
      <c r="O2" s="535"/>
      <c r="P2" s="313" t="s">
        <v>231</v>
      </c>
      <c r="Q2" s="220" t="s">
        <v>112</v>
      </c>
      <c r="R2" s="220" t="s">
        <v>49</v>
      </c>
      <c r="S2" s="220" t="s">
        <v>232</v>
      </c>
      <c r="T2" s="220" t="s">
        <v>9</v>
      </c>
      <c r="U2" s="220" t="s">
        <v>233</v>
      </c>
      <c r="V2" s="221" t="s">
        <v>234</v>
      </c>
      <c r="W2" s="220" t="s">
        <v>61</v>
      </c>
      <c r="X2" s="314" t="s">
        <v>704</v>
      </c>
      <c r="Y2" s="156"/>
      <c r="Z2" s="312" t="s">
        <v>231</v>
      </c>
      <c r="AA2" s="2230" t="s">
        <v>235</v>
      </c>
      <c r="AB2" s="2231"/>
      <c r="AC2" s="308">
        <v>1</v>
      </c>
      <c r="AD2" s="308">
        <v>2</v>
      </c>
      <c r="AE2" s="308">
        <v>3</v>
      </c>
      <c r="AF2" s="308">
        <v>4</v>
      </c>
      <c r="AG2" s="308">
        <v>5</v>
      </c>
      <c r="AH2" s="308">
        <v>6</v>
      </c>
      <c r="AI2" s="308">
        <v>7</v>
      </c>
      <c r="AJ2" s="308">
        <v>8</v>
      </c>
      <c r="AK2" s="308">
        <v>9</v>
      </c>
      <c r="AL2" s="73">
        <v>10</v>
      </c>
      <c r="AO2" s="45"/>
      <c r="AP2" s="45"/>
      <c r="AQ2" s="45"/>
      <c r="AR2" s="45"/>
      <c r="AS2" s="45"/>
      <c r="AT2" s="45"/>
      <c r="AU2" s="45"/>
      <c r="AV2" s="45"/>
    </row>
    <row r="3" spans="1:48" ht="11.85" customHeight="1" thickTop="1">
      <c r="A3" s="543">
        <v>1</v>
      </c>
      <c r="B3" s="47" t="s">
        <v>236</v>
      </c>
      <c r="C3" s="48"/>
      <c r="D3" s="49"/>
      <c r="E3" s="689">
        <f>VLOOKUP("Modify P1",Data!$A$1177:$I$1226,2,FALSE)</f>
        <v>0</v>
      </c>
      <c r="F3" s="690">
        <f>VLOOKUP("Modify P2",Data!$A$1177:$I$1226,2,FALSE)</f>
        <v>0</v>
      </c>
      <c r="G3" s="690">
        <f>VLOOKUP("Modify P3",Data!$A$1177:$I$1226,2,FALSE)</f>
        <v>0</v>
      </c>
      <c r="H3" s="690">
        <f>VLOOKUP("Modify P4",Data!$A$1177:$I$1226,2,FALSE)</f>
        <v>0</v>
      </c>
      <c r="I3" s="690">
        <f>VLOOKUP("Modify P5",Data!$A$1177:$I$1226,2,FALSE)</f>
        <v>0</v>
      </c>
      <c r="J3" s="690">
        <f>VLOOKUP("Modify P6",Data!$A$1177:$I$1226,2,FALSE)</f>
        <v>0</v>
      </c>
      <c r="K3" s="690">
        <f>VLOOKUP("Modify P7",Data!$A$1177:$I$1226,2,FALSE)</f>
        <v>0</v>
      </c>
      <c r="L3" s="691">
        <f>VLOOKUP("Modify P8",Data!$A$1177:$I$1226,2,FALSE)</f>
        <v>0</v>
      </c>
      <c r="M3" s="51" t="s">
        <v>50</v>
      </c>
      <c r="N3" s="918">
        <f>VLOOKUP("Green",Data!$A$1179:$I$1179,2,FALSE)</f>
        <v>0</v>
      </c>
      <c r="O3" s="535"/>
      <c r="P3" s="315">
        <v>1</v>
      </c>
      <c r="Q3" s="697" t="str">
        <f>VLOOKUP("Enable",Data!$A$1903:$G$1903,2,FALSE)</f>
        <v>OFF</v>
      </c>
      <c r="R3" s="647" t="str">
        <f>VLOOKUP("Type",Data!$A$1924:$G$1924,2,FALSE)</f>
        <v>RAIL</v>
      </c>
      <c r="S3" s="698" t="str">
        <f>VLOOKUP("Output Mode",Data!$A$1905:$G$1905,2,FALSE)</f>
        <v>TS2</v>
      </c>
      <c r="T3" s="647">
        <f>VLOOKUP("Pattern",Data!$A$1906:$AU$1906,2,FALSE)</f>
        <v>0</v>
      </c>
      <c r="U3" s="698" t="str">
        <f>VLOOKUP("Skip Track",Data!$A$1911:$G$1911,2,FALSE)</f>
        <v>OFF</v>
      </c>
      <c r="V3" s="710" t="str">
        <f>VLOOKUP("Coord in Preempt",Data!$A$1890:$G$1890,2,FALSE)</f>
        <v>OFF</v>
      </c>
      <c r="W3" s="699" t="str">
        <f>VLOOKUP("Volt Mon Flash",Data!$A$1925:$G$1925,2,FALSE)</f>
        <v>OFF</v>
      </c>
      <c r="X3" s="700" t="str">
        <f>VLOOKUP("Return Max/Min",Data!$A$1910:$G$1910,2,FALSE)</f>
        <v>MAX</v>
      </c>
      <c r="Y3" s="156"/>
      <c r="Z3" s="2227">
        <v>1</v>
      </c>
      <c r="AA3" s="2234" t="s">
        <v>1055</v>
      </c>
      <c r="AB3" s="2235"/>
      <c r="AC3" s="741">
        <f>VLOOKUP("Dwell Cyc Veh 1",Data!$A:$H,2,FALSE)</f>
        <v>0</v>
      </c>
      <c r="AD3" s="742">
        <f>VLOOKUP("Dwell Cyc Veh 2",Data!$A:$H,2,FALSE)</f>
        <v>0</v>
      </c>
      <c r="AE3" s="742">
        <f>VLOOKUP("Dwell Cyc Veh 3",Data!$A:$H,2,FALSE)</f>
        <v>0</v>
      </c>
      <c r="AF3" s="742">
        <f>VLOOKUP("Dwell Cyc Veh 4",Data!$A:$H,2,FALSE)</f>
        <v>0</v>
      </c>
      <c r="AG3" s="742">
        <f>VLOOKUP("Dwell Cyc Veh 5",Data!$A:$H,2,FALSE)</f>
        <v>0</v>
      </c>
      <c r="AH3" s="742">
        <f>VLOOKUP("Dwell Cyc Veh 6",Data!$A:$H,2,FALSE)</f>
        <v>0</v>
      </c>
      <c r="AI3" s="742">
        <f>VLOOKUP("Dwell Cyc Veh 7",Data!$A:$H,2,FALSE)</f>
        <v>0</v>
      </c>
      <c r="AJ3" s="742">
        <f>VLOOKUP("Dwell Cyc Veh 8",Data!$A:$H,2,FALSE)</f>
        <v>0</v>
      </c>
      <c r="AK3" s="742">
        <f>VLOOKUP("Dwell Cyc Veh 9",Data!$A:$G,2,FALSE)</f>
        <v>0</v>
      </c>
      <c r="AL3" s="743">
        <f>VLOOKUP("Dwell Cyc Veh 10",Data!$A:$G,2,FALSE)</f>
        <v>0</v>
      </c>
      <c r="AO3" s="45"/>
      <c r="AP3" s="45"/>
      <c r="AQ3" s="45"/>
      <c r="AR3" s="45"/>
      <c r="AS3" s="45"/>
      <c r="AT3" s="45"/>
      <c r="AU3" s="45"/>
      <c r="AV3" s="45"/>
    </row>
    <row r="4" spans="1:48" ht="11.85" customHeight="1" thickBot="1">
      <c r="A4" s="543"/>
      <c r="B4" s="47" t="s">
        <v>237</v>
      </c>
      <c r="C4" s="48"/>
      <c r="D4" s="49"/>
      <c r="E4" s="692">
        <f>VLOOKUP("Conflict P1",Data!$A$1200:$I$1226,2,FALSE)</f>
        <v>0</v>
      </c>
      <c r="F4" s="693">
        <f>VLOOKUP("Conflict P2",Data!$A$1200:$I$1226,2,FALSE)</f>
        <v>0</v>
      </c>
      <c r="G4" s="693">
        <f>VLOOKUP("Conflict P3",Data!$A$1200:$I$1226,2,FALSE)</f>
        <v>0</v>
      </c>
      <c r="H4" s="693">
        <f>VLOOKUP("Conflict P4",Data!$A$1200:$I$1226,2,FALSE)</f>
        <v>0</v>
      </c>
      <c r="I4" s="693">
        <f>VLOOKUP("Conflict P5",Data!$A$1200:$I$1226,2,FALSE)</f>
        <v>0</v>
      </c>
      <c r="J4" s="693">
        <f>VLOOKUP("Conflict P6",Data!$A$1200:$I$1226,2,FALSE)</f>
        <v>0</v>
      </c>
      <c r="K4" s="693">
        <f>VLOOKUP("Conflict P7",Data!$A$1200:$I$1226,2,FALSE)</f>
        <v>0</v>
      </c>
      <c r="L4" s="694">
        <f>VLOOKUP("Conflict P8",Data!$A$1200:$I$1226,2,FALSE)</f>
        <v>0</v>
      </c>
      <c r="M4" s="51" t="s">
        <v>51</v>
      </c>
      <c r="N4" s="918">
        <f>VLOOKUP("Yellow",Data!$A$1198:$I$1198,2,FALSE)</f>
        <v>3</v>
      </c>
      <c r="O4" s="535"/>
      <c r="P4" s="306">
        <v>2</v>
      </c>
      <c r="Q4" s="706" t="str">
        <f>VLOOKUP("Enable",Data!$A$1903:$G$1903,3,FALSE)</f>
        <v>OFF</v>
      </c>
      <c r="R4" s="653" t="str">
        <f>VLOOKUP("Type",Data!$A$1924:$AU$1924,3,FALSE)</f>
        <v>RAIL</v>
      </c>
      <c r="S4" s="707" t="str">
        <f>VLOOKUP("Output Mode",Data!$A$1905:$G$1905,3,FALSE)</f>
        <v>TS2</v>
      </c>
      <c r="T4" s="653">
        <f>VLOOKUP("Pattern",Data!$A$1906:$AU$1906,3,FALSE)</f>
        <v>0</v>
      </c>
      <c r="U4" s="707" t="str">
        <f>VLOOKUP("Skip Track",Data!$A$1911:$G$1911,3,FALSE)</f>
        <v>OFF</v>
      </c>
      <c r="V4" s="653" t="str">
        <f>VLOOKUP("Coord in Preempt",Data!$A$1890:$G$1890,3,FALSE)</f>
        <v>OFF</v>
      </c>
      <c r="W4" s="708" t="str">
        <f>VLOOKUP("Volt Mon Flash",Data!$A$1925:$G$1925,3,FALSE)</f>
        <v>OFF</v>
      </c>
      <c r="X4" s="709" t="str">
        <f>VLOOKUP("Return Max/Min",Data!$A$1910:$G$1910,3,FALSE)</f>
        <v>MAX</v>
      </c>
      <c r="Y4" s="156"/>
      <c r="Z4" s="2228"/>
      <c r="AA4" s="2232" t="s">
        <v>238</v>
      </c>
      <c r="AB4" s="2233"/>
      <c r="AC4" s="769">
        <f>VLOOKUP("Dwell Cyc Ped1",Data!$A:$H,2,FALSE)</f>
        <v>0</v>
      </c>
      <c r="AD4" s="770">
        <f>VLOOKUP("Dwell Cyc Ped2",Data!$A:$H,2,FALSE)</f>
        <v>0</v>
      </c>
      <c r="AE4" s="770">
        <f>VLOOKUP("Dwell Cyc Ped3",Data!$A:$H,2,FALSE)</f>
        <v>0</v>
      </c>
      <c r="AF4" s="770">
        <f>VLOOKUP("Dwell Cyc Ped4",Data!$A:$H,2,FALSE)</f>
        <v>0</v>
      </c>
      <c r="AG4" s="770">
        <f>VLOOKUP("Dwell Cyc Ped5",Data!$A:$H,2,FALSE)</f>
        <v>0</v>
      </c>
      <c r="AH4" s="770">
        <f>VLOOKUP("Dwell Cyc Ped6",Data!$A:$H,2,FALSE)</f>
        <v>0</v>
      </c>
      <c r="AI4" s="770">
        <f>VLOOKUP("Dwell vPed7",Data!$A:$H,2,FALSE)</f>
        <v>0</v>
      </c>
      <c r="AJ4" s="770">
        <f>VLOOKUP("Dwell Cyc Ped8",Data!$A:$H,2,FALSE)</f>
        <v>0</v>
      </c>
      <c r="AK4" s="773"/>
      <c r="AL4" s="774"/>
      <c r="AO4" s="45"/>
      <c r="AP4" s="45"/>
      <c r="AQ4" s="45"/>
      <c r="AR4" s="45"/>
      <c r="AS4" s="45"/>
      <c r="AT4" s="45"/>
      <c r="AU4" s="45"/>
      <c r="AV4" s="45"/>
    </row>
    <row r="5" spans="1:48" ht="11.85" customHeight="1" thickTop="1">
      <c r="A5" s="543" t="s">
        <v>239</v>
      </c>
      <c r="B5" s="47" t="s">
        <v>240</v>
      </c>
      <c r="C5" s="48"/>
      <c r="D5" s="49"/>
      <c r="E5" s="692">
        <f>VLOOKUP("Conflict O1",Data!$A$1200:$I$1226,2,FALSE)</f>
        <v>0</v>
      </c>
      <c r="F5" s="693">
        <f>VLOOKUP("Conflict O2",Data!$A$1200:$I$1226,2,FALSE)</f>
        <v>0</v>
      </c>
      <c r="G5" s="693">
        <f>VLOOKUP("Conflict O3",Data!$A$1200:$I$1226,2,FALSE)</f>
        <v>0</v>
      </c>
      <c r="H5" s="693">
        <f>VLOOKUP("Conflict O4",Data!$A$1200:$I$1226,2,FALSE)</f>
        <v>0</v>
      </c>
      <c r="I5" s="693">
        <f>VLOOKUP("Conflict O5",Data!$A$1200:$I$1226,2,FALSE)</f>
        <v>0</v>
      </c>
      <c r="J5" s="693">
        <f>VLOOKUP("Conflict O6",Data!$A$1200:$I$1226,2,FALSE)</f>
        <v>0</v>
      </c>
      <c r="K5" s="693">
        <f>VLOOKUP("Conflict O7",Data!$A$1200:$I$1226,2,FALSE)</f>
        <v>0</v>
      </c>
      <c r="L5" s="694">
        <f>VLOOKUP("Conflict O8",Data!$A$1200:$I$1226,2,FALSE)</f>
        <v>0</v>
      </c>
      <c r="M5" s="51" t="s">
        <v>52</v>
      </c>
      <c r="N5" s="918">
        <f>VLOOKUP("Red",Data!$A$1196:$I$1196,2,FALSE)</f>
        <v>1</v>
      </c>
      <c r="O5" s="535"/>
      <c r="P5" s="306">
        <v>3</v>
      </c>
      <c r="Q5" s="701" t="str">
        <f>VLOOKUP("Enable",Data!$A$1903:$G$1903,4,FALSE)</f>
        <v>ON</v>
      </c>
      <c r="R5" s="702" t="str">
        <f>VLOOKUP("Type",Data!$A$1924:$AU$1924,4,FALSE)</f>
        <v>EMERG</v>
      </c>
      <c r="S5" s="703" t="str">
        <f>VLOOKUP("Output Mode",Data!$A$1905:$G$1905,4,FALSE)</f>
        <v>TS2</v>
      </c>
      <c r="T5" s="702">
        <f>VLOOKUP("Pattern",Data!$A$1906:$AU$1906,4,FALSE)</f>
        <v>0</v>
      </c>
      <c r="U5" s="703" t="str">
        <f>VLOOKUP("Skip Track",Data!$A$1911:$G$1911,4,FALSE)</f>
        <v>OFF</v>
      </c>
      <c r="V5" s="711" t="str">
        <f>VLOOKUP("Coord in Preempt",Data!$A$1890:$G$1890,4,FALSE)</f>
        <v>OFF</v>
      </c>
      <c r="W5" s="704" t="str">
        <f>VLOOKUP("Volt Mon Flash",Data!$A$1925:$G$1925,4,FALSE)</f>
        <v>OFF</v>
      </c>
      <c r="X5" s="705" t="str">
        <f>VLOOKUP("Return Max/Min",Data!$A$1910:$G$1910,4,FALSE)</f>
        <v>MAX</v>
      </c>
      <c r="Y5" s="156"/>
      <c r="Z5" s="2227">
        <v>2</v>
      </c>
      <c r="AA5" s="2234" t="s">
        <v>1055</v>
      </c>
      <c r="AB5" s="2235"/>
      <c r="AC5" s="741">
        <f>VLOOKUP("Dwell Cyc Veh 1",Data!$A:$H,3,FALSE)</f>
        <v>0</v>
      </c>
      <c r="AD5" s="742">
        <f>VLOOKUP("Dwell Cyc Veh 2",Data!$A:$H,3,FALSE)</f>
        <v>0</v>
      </c>
      <c r="AE5" s="742">
        <f>VLOOKUP("Dwell Cyc Veh 3",Data!$A:$H,3,FALSE)</f>
        <v>0</v>
      </c>
      <c r="AF5" s="742">
        <f>VLOOKUP("Dwell Cyc Veh 4",Data!$A:$H,3,FALSE)</f>
        <v>0</v>
      </c>
      <c r="AG5" s="742">
        <f>VLOOKUP("Dwell Cyc Veh 5",Data!$A:$H,3,FALSE)</f>
        <v>0</v>
      </c>
      <c r="AH5" s="742">
        <f>VLOOKUP("Dwell Cyc Veh 6",Data!$A:$H,3,FALSE)</f>
        <v>0</v>
      </c>
      <c r="AI5" s="742">
        <f>VLOOKUP("Dwell Cyc Veh 7",Data!$A:$H,3,FALSE)</f>
        <v>0</v>
      </c>
      <c r="AJ5" s="742">
        <f>VLOOKUP("Dwell Cyc Veh 8",Data!$A:$H,3,FALSE)</f>
        <v>0</v>
      </c>
      <c r="AK5" s="742">
        <f>VLOOKUP("Dwell Cyc Veh 9",Data!$A:$G,3,FALSE)</f>
        <v>0</v>
      </c>
      <c r="AL5" s="743">
        <f>VLOOKUP("Dwell Cyc Veh 10",Data!$A:$G,3,FALSE)</f>
        <v>0</v>
      </c>
      <c r="AO5" s="119"/>
      <c r="AP5" s="45"/>
      <c r="AQ5" s="45"/>
      <c r="AR5" s="45"/>
      <c r="AS5" s="45"/>
      <c r="AT5" s="45"/>
      <c r="AU5" s="45"/>
      <c r="AV5" s="45"/>
    </row>
    <row r="6" spans="1:48" ht="11.85" customHeight="1" thickBot="1">
      <c r="A6" s="543"/>
      <c r="B6" s="52" t="s">
        <v>241</v>
      </c>
      <c r="C6" s="48"/>
      <c r="D6" s="49"/>
      <c r="E6" s="695">
        <f>VLOOKUP("Conflict Ped 1",Data!$A$1200:$I$1226,2,FALSE)</f>
        <v>0</v>
      </c>
      <c r="F6" s="696">
        <f>VLOOKUP("Conflict Ped 2",Data!$A$1200:$I$1226,2,FALSE)</f>
        <v>0</v>
      </c>
      <c r="G6" s="696">
        <f>VLOOKUP("Conflict Ped 3",Data!$A$1200:$I$1226,2,FALSE)</f>
        <v>0</v>
      </c>
      <c r="H6" s="696">
        <f>VLOOKUP("Conflict Ped 4",Data!$A$1200:$I$1226,2,FALSE)</f>
        <v>0</v>
      </c>
      <c r="I6" s="696">
        <f>VLOOKUP("Conflict Ped 5",Data!$A$1200:$I$1226,2,FALSE)</f>
        <v>0</v>
      </c>
      <c r="J6" s="696">
        <f>VLOOKUP("Conflict Ped 6",Data!$A$1200:$I$1226,2,FALSE)</f>
        <v>0</v>
      </c>
      <c r="K6" s="696">
        <f>VLOOKUP("Conflict Ped 7",Data!$A$1200:$I$1226,2,FALSE)</f>
        <v>0</v>
      </c>
      <c r="L6" s="919">
        <f>VLOOKUP("Conflict Ped 8",Data!$A$1200:$I$1226,2,FALSE)</f>
        <v>0</v>
      </c>
      <c r="M6" s="2174"/>
      <c r="N6" s="2175"/>
      <c r="O6" s="535"/>
      <c r="P6" s="306">
        <v>4</v>
      </c>
      <c r="Q6" s="706" t="str">
        <f>VLOOKUP("Enable",Data!$A$1903:$G$1903,5,FALSE)</f>
        <v>ON</v>
      </c>
      <c r="R6" s="653" t="str">
        <f>VLOOKUP("Type",Data!$A$1924:$AU$1924,5,FALSE)</f>
        <v>EMERG</v>
      </c>
      <c r="S6" s="707" t="str">
        <f>VLOOKUP("Output Mode",Data!$A$1905:$G$1905,5,FALSE)</f>
        <v>TS2</v>
      </c>
      <c r="T6" s="653">
        <f>VLOOKUP("Pattern",Data!$A$1906:$AU$1906,5,FALSE)</f>
        <v>0</v>
      </c>
      <c r="U6" s="707" t="str">
        <f>VLOOKUP("Skip Track",Data!$A$1911:$G$1911,5,FALSE)</f>
        <v>OFF</v>
      </c>
      <c r="V6" s="653" t="str">
        <f>VLOOKUP("Coord in Preempt",Data!$A$1890:$G$1890,5,FALSE)</f>
        <v>OFF</v>
      </c>
      <c r="W6" s="708" t="str">
        <f>VLOOKUP("Volt Mon Flash",Data!$A$1925:$G$1925,5,FALSE)</f>
        <v>OFF</v>
      </c>
      <c r="X6" s="709" t="str">
        <f>VLOOKUP("Return Max/Min",Data!$A$1910:$G$1910,5,FALSE)</f>
        <v>MAX</v>
      </c>
      <c r="Y6" s="156"/>
      <c r="Z6" s="2228"/>
      <c r="AA6" s="2232" t="s">
        <v>238</v>
      </c>
      <c r="AB6" s="2233"/>
      <c r="AC6" s="769">
        <f>VLOOKUP("Dwell Cyc Ped1",Data!$A:$H,3,FALSE)</f>
        <v>0</v>
      </c>
      <c r="AD6" s="770">
        <f>VLOOKUP("Dwell Cyc Ped2",Data!$A:$H,3,FALSE)</f>
        <v>0</v>
      </c>
      <c r="AE6" s="770">
        <f>VLOOKUP("Dwell Cyc Ped3",Data!$A:$H,3,FALSE)</f>
        <v>0</v>
      </c>
      <c r="AF6" s="770">
        <f>VLOOKUP("Dwell Cyc Ped4",Data!$A:$H,3,FALSE)</f>
        <v>0</v>
      </c>
      <c r="AG6" s="770">
        <f>VLOOKUP("Dwell Cyc Ped5",Data!$A:$H,3,FALSE)</f>
        <v>0</v>
      </c>
      <c r="AH6" s="770">
        <f>VLOOKUP("Dwell Cyc Ped6",Data!$A:$H,3,FALSE)</f>
        <v>0</v>
      </c>
      <c r="AI6" s="770">
        <f>VLOOKUP("Dwell vPed7",Data!$A:$H,3,FALSE)</f>
        <v>0</v>
      </c>
      <c r="AJ6" s="770">
        <f>VLOOKUP("Dwell Cyc Ped8",Data!$A:$H,3,FALSE)</f>
        <v>0</v>
      </c>
      <c r="AK6" s="773"/>
      <c r="AL6" s="774"/>
      <c r="AO6" s="119"/>
      <c r="AP6" s="45"/>
      <c r="AQ6" s="45"/>
      <c r="AR6" s="45"/>
      <c r="AS6" s="45"/>
      <c r="AT6" s="45"/>
      <c r="AU6" s="45"/>
      <c r="AV6" s="45"/>
    </row>
    <row r="7" spans="1:48" ht="11.85" customHeight="1" thickTop="1">
      <c r="A7" s="544"/>
      <c r="B7" s="47" t="s">
        <v>230</v>
      </c>
      <c r="C7" s="53"/>
      <c r="D7" s="54"/>
      <c r="E7" s="686">
        <f>VLOOKUP("Included P1",Data!$A$1177:$I$1226,3,FALSE)</f>
        <v>0</v>
      </c>
      <c r="F7" s="687">
        <f>VLOOKUP("Included P2",Data!$A$1177:$I$1226,3,FALSE)</f>
        <v>0</v>
      </c>
      <c r="G7" s="687">
        <f>VLOOKUP("Included P3",Data!$A$1177:$I$1226,3,FALSE)</f>
        <v>0</v>
      </c>
      <c r="H7" s="687">
        <f>VLOOKUP("Included P4",Data!$A$1177:$I$1226,3,FALSE)</f>
        <v>0</v>
      </c>
      <c r="I7" s="687">
        <f>VLOOKUP("Included P5",Data!$A$1177:$I$1226,3,FALSE)</f>
        <v>0</v>
      </c>
      <c r="J7" s="687">
        <f>VLOOKUP("Included P6",Data!$A$1177:$I$1226,3,FALSE)</f>
        <v>0</v>
      </c>
      <c r="K7" s="687">
        <f>VLOOKUP("Included P7",Data!$A$1177:$I$1226,3,FALSE)</f>
        <v>0</v>
      </c>
      <c r="L7" s="688">
        <f>VLOOKUP("Included P8",Data!$A$1177:$I$1226,3,FALSE)</f>
        <v>0</v>
      </c>
      <c r="M7" s="2186" t="str">
        <f>VLOOKUP("Type",Data!$A$1197:$I$1197,3,FALSE)</f>
        <v>NORMAL</v>
      </c>
      <c r="N7" s="2187"/>
      <c r="O7" s="535"/>
      <c r="P7" s="306">
        <v>5</v>
      </c>
      <c r="Q7" s="701" t="str">
        <f>VLOOKUP("Enable",Data!$A$1903:$G$1903,6,FALSE)</f>
        <v>ON</v>
      </c>
      <c r="R7" s="702" t="str">
        <f>VLOOKUP("Type",Data!$A$1924:$AU$1924,6,FALSE)</f>
        <v>EMERG</v>
      </c>
      <c r="S7" s="703" t="str">
        <f>VLOOKUP("Output Mode",Data!$A$1905:$G$1905,6,FALSE)</f>
        <v>TS2</v>
      </c>
      <c r="T7" s="702">
        <f>VLOOKUP("Pattern",Data!$A$1906:$AU$1906,6,FALSE)</f>
        <v>0</v>
      </c>
      <c r="U7" s="703" t="str">
        <f>VLOOKUP("Skip Track",Data!$A$1911:$G$1911,6,FALSE)</f>
        <v>OFF</v>
      </c>
      <c r="V7" s="702" t="str">
        <f>VLOOKUP("Coord in Preempt",Data!$A$1890:$G$1890,6,FALSE)</f>
        <v>OFF</v>
      </c>
      <c r="W7" s="704" t="str">
        <f>VLOOKUP("Volt Mon Flash",Data!$A$1925:$G$1925,6,FALSE)</f>
        <v>OFF</v>
      </c>
      <c r="X7" s="705" t="str">
        <f>VLOOKUP("Return Max/Min",Data!$A$1910:$G$1910,6,FALSE)</f>
        <v>MAX</v>
      </c>
      <c r="Y7" s="156"/>
      <c r="Z7" s="2227">
        <v>3</v>
      </c>
      <c r="AA7" s="2234" t="s">
        <v>1055</v>
      </c>
      <c r="AB7" s="2235"/>
      <c r="AC7" s="741">
        <f>VLOOKUP("Dwell Cyc Veh 1",Data!$A:$H,4,FALSE)</f>
        <v>2</v>
      </c>
      <c r="AD7" s="742">
        <f>VLOOKUP("Dwell Cyc Veh 2",Data!$A:$H,4,FALSE)</f>
        <v>5</v>
      </c>
      <c r="AE7" s="742">
        <f>VLOOKUP("Dwell Cyc Veh 3",Data!$A:$H,4,FALSE)</f>
        <v>0</v>
      </c>
      <c r="AF7" s="742">
        <f>VLOOKUP("Dwell Cyc Veh 4",Data!$A:$H,4,FALSE)</f>
        <v>0</v>
      </c>
      <c r="AG7" s="742">
        <f>VLOOKUP("Dwell Cyc Veh 5",Data!$A:$H,4,FALSE)</f>
        <v>0</v>
      </c>
      <c r="AH7" s="742">
        <f>VLOOKUP("Dwell Cyc Veh 6",Data!$A:$H,4,FALSE)</f>
        <v>0</v>
      </c>
      <c r="AI7" s="742">
        <f>VLOOKUP("Dwell Cyc Veh 7",Data!$A:$H,4,FALSE)</f>
        <v>0</v>
      </c>
      <c r="AJ7" s="742">
        <f>VLOOKUP("Dwell Cyc Veh 8",Data!$A:$H,4,FALSE)</f>
        <v>0</v>
      </c>
      <c r="AK7" s="742">
        <f>VLOOKUP("Dwell Cyc Veh 9",Data!$A:$G,4,FALSE)</f>
        <v>0</v>
      </c>
      <c r="AL7" s="743">
        <f>VLOOKUP("Dwell Cyc Veh 10",Data!$A:$G,4,FALSE)</f>
        <v>0</v>
      </c>
      <c r="AO7" s="119"/>
      <c r="AP7" s="45"/>
      <c r="AQ7" s="45"/>
      <c r="AR7" s="45"/>
      <c r="AS7" s="45"/>
      <c r="AT7" s="45"/>
      <c r="AU7" s="45"/>
      <c r="AV7" s="45"/>
    </row>
    <row r="8" spans="1:48" ht="11.85" customHeight="1" thickBot="1">
      <c r="A8" s="543">
        <v>2</v>
      </c>
      <c r="B8" s="47" t="s">
        <v>236</v>
      </c>
      <c r="C8" s="48"/>
      <c r="D8" s="49"/>
      <c r="E8" s="689">
        <f>VLOOKUP("Modify P1",Data!$A$1177:$I$1226,3,FALSE)</f>
        <v>0</v>
      </c>
      <c r="F8" s="690">
        <f>VLOOKUP("Modify P2",Data!$A$1177:$I$1226,3,FALSE)</f>
        <v>0</v>
      </c>
      <c r="G8" s="690">
        <f>VLOOKUP("Modify P3",Data!$A$1177:$I$1226,3,FALSE)</f>
        <v>0</v>
      </c>
      <c r="H8" s="690">
        <f>VLOOKUP("Modify P4",Data!$A$1177:$I$1226,3,FALSE)</f>
        <v>0</v>
      </c>
      <c r="I8" s="690">
        <f>VLOOKUP("Modify P5",Data!$A$1177:$I$1226,3,FALSE)</f>
        <v>0</v>
      </c>
      <c r="J8" s="690">
        <f>VLOOKUP("Modify P6",Data!$A$1177:$I$1226,3,FALSE)</f>
        <v>0</v>
      </c>
      <c r="K8" s="690">
        <f>VLOOKUP("Modify P7",Data!$A$1177:$I$1226,3,FALSE)</f>
        <v>0</v>
      </c>
      <c r="L8" s="691">
        <f>VLOOKUP("Modify P8",Data!$A$1177:$I$1226,3,FALSE)</f>
        <v>0</v>
      </c>
      <c r="M8" s="51" t="s">
        <v>50</v>
      </c>
      <c r="N8" s="918">
        <f>VLOOKUP("Green",Data!$A$1179:$I$1179,3,FALSE)</f>
        <v>0</v>
      </c>
      <c r="O8" s="535"/>
      <c r="P8" s="46">
        <v>6</v>
      </c>
      <c r="Q8" s="706" t="str">
        <f>VLOOKUP("Enable",Data!$A$1903:$G$1903,7,FALSE)</f>
        <v>ON</v>
      </c>
      <c r="R8" s="653" t="str">
        <f>VLOOKUP("Type",Data!$A$1924:$AU$1924,7,FALSE)</f>
        <v>EMERG</v>
      </c>
      <c r="S8" s="707" t="str">
        <f>VLOOKUP("Output Mode",Data!$A$1905:$G$1905,7,FALSE)</f>
        <v>TS2</v>
      </c>
      <c r="T8" s="653">
        <f>VLOOKUP("Pattern",Data!$A$1906:$AU$1906,7,FALSE)</f>
        <v>0</v>
      </c>
      <c r="U8" s="707" t="str">
        <f>VLOOKUP("Skip Track",Data!$A$1911:$G$1911,7,FALSE)</f>
        <v>OFF</v>
      </c>
      <c r="V8" s="712" t="str">
        <f>VLOOKUP("Coord in Preempt",Data!$A$1890:$G$1890,7,FALSE)</f>
        <v>OFF</v>
      </c>
      <c r="W8" s="708" t="str">
        <f>VLOOKUP("Volt Mon Flash",Data!$A$1925:$G$1925,7,FALSE)</f>
        <v>OFF</v>
      </c>
      <c r="X8" s="709" t="str">
        <f>VLOOKUP("Return Max/Min",Data!$A$1910:$G$1910,7,FALSE)</f>
        <v>MAX</v>
      </c>
      <c r="Y8" s="156"/>
      <c r="Z8" s="2228"/>
      <c r="AA8" s="2232" t="s">
        <v>238</v>
      </c>
      <c r="AB8" s="2233"/>
      <c r="AC8" s="769">
        <f>VLOOKUP("Dwell Cyc Ped1",Data!$A:$H,4,FALSE)</f>
        <v>0</v>
      </c>
      <c r="AD8" s="770">
        <f>VLOOKUP("Dwell Cyc Ped2",Data!$A:$H,4,FALSE)</f>
        <v>0</v>
      </c>
      <c r="AE8" s="770">
        <f>VLOOKUP("Dwell Cyc Ped3",Data!$A:$H,4,FALSE)</f>
        <v>0</v>
      </c>
      <c r="AF8" s="770">
        <f>VLOOKUP("Dwell Cyc Ped4",Data!$A:$H,4,FALSE)</f>
        <v>0</v>
      </c>
      <c r="AG8" s="770">
        <f>VLOOKUP("Dwell Cyc Ped5",Data!$A:$H,4,FALSE)</f>
        <v>0</v>
      </c>
      <c r="AH8" s="770">
        <f>VLOOKUP("Dwell Cyc Ped6",Data!$A:$H,4,FALSE)</f>
        <v>0</v>
      </c>
      <c r="AI8" s="770">
        <f>VLOOKUP("Dwell vPed7",Data!$A:$H,4,FALSE)</f>
        <v>0</v>
      </c>
      <c r="AJ8" s="770">
        <f>VLOOKUP("Dwell Cyc Ped8",Data!$A:$H,4,FALSE)</f>
        <v>0</v>
      </c>
      <c r="AK8" s="773"/>
      <c r="AL8" s="774"/>
      <c r="AO8" s="119"/>
      <c r="AP8" s="45"/>
      <c r="AQ8" s="45"/>
      <c r="AR8" s="45"/>
      <c r="AS8" s="45"/>
      <c r="AT8" s="45"/>
      <c r="AU8" s="45"/>
      <c r="AV8" s="45"/>
    </row>
    <row r="9" spans="1:48" ht="11.85" customHeight="1" thickTop="1">
      <c r="A9" s="543"/>
      <c r="B9" s="47" t="s">
        <v>237</v>
      </c>
      <c r="C9" s="48"/>
      <c r="D9" s="49"/>
      <c r="E9" s="692">
        <f>VLOOKUP("Conflict P1",Data!$A$1200:$I$1226,3,FALSE)</f>
        <v>0</v>
      </c>
      <c r="F9" s="693">
        <f>VLOOKUP("Conflict P2",Data!$A$1200:$I$1226,3,FALSE)</f>
        <v>0</v>
      </c>
      <c r="G9" s="693">
        <f>VLOOKUP("Conflict P3",Data!$A$1200:$I$1226,3,FALSE)</f>
        <v>0</v>
      </c>
      <c r="H9" s="693">
        <f>VLOOKUP("Conflict P4",Data!$A$1200:$I$1226,3,FALSE)</f>
        <v>0</v>
      </c>
      <c r="I9" s="693">
        <f>VLOOKUP("Conflict P5",Data!$A$1200:$I$1226,3,FALSE)</f>
        <v>0</v>
      </c>
      <c r="J9" s="693">
        <f>VLOOKUP("Conflict P6",Data!$A$1200:$I$1226,3,FALSE)</f>
        <v>0</v>
      </c>
      <c r="K9" s="693">
        <f>VLOOKUP("Conflict P7",Data!$A$1200:$I$1226,3,FALSE)</f>
        <v>0</v>
      </c>
      <c r="L9" s="694">
        <f>VLOOKUP("Conflict P8",Data!$A$1200:$I$1226,3,FALSE)</f>
        <v>0</v>
      </c>
      <c r="M9" s="51" t="s">
        <v>51</v>
      </c>
      <c r="N9" s="918">
        <f>VLOOKUP("Yellow",Data!$A$1198:$I$1198,3,FALSE)</f>
        <v>3</v>
      </c>
      <c r="O9" s="219"/>
      <c r="P9" s="316" t="s">
        <v>1056</v>
      </c>
      <c r="Q9" s="191"/>
      <c r="R9" s="191"/>
      <c r="S9" s="191"/>
      <c r="T9" s="191"/>
      <c r="U9" s="191"/>
      <c r="V9" s="191"/>
      <c r="W9" s="191"/>
      <c r="X9" s="317"/>
      <c r="Y9" s="156"/>
      <c r="Z9" s="2227">
        <v>4</v>
      </c>
      <c r="AA9" s="2234" t="s">
        <v>1055</v>
      </c>
      <c r="AB9" s="2235"/>
      <c r="AC9" s="741">
        <f>VLOOKUP("Dwell Cyc Veh 1",Data!$A:$H,5,FALSE)</f>
        <v>4</v>
      </c>
      <c r="AD9" s="742">
        <f>VLOOKUP("Dwell Cyc Veh 2",Data!$A:$H,5,FALSE)</f>
        <v>7</v>
      </c>
      <c r="AE9" s="742">
        <f>VLOOKUP("Dwell Cyc Veh 3",Data!$A:$H,5,FALSE)</f>
        <v>0</v>
      </c>
      <c r="AF9" s="742">
        <f>VLOOKUP("Dwell Cyc Veh 4",Data!$A:$H,5,FALSE)</f>
        <v>0</v>
      </c>
      <c r="AG9" s="742">
        <f>VLOOKUP("Dwell Cyc Veh 5",Data!$A:$H,5,FALSE)</f>
        <v>0</v>
      </c>
      <c r="AH9" s="742">
        <f>VLOOKUP("Dwell Cyc Veh 6",Data!$A:$H,5,FALSE)</f>
        <v>0</v>
      </c>
      <c r="AI9" s="742">
        <f>VLOOKUP("Dwell Cyc Veh 7",Data!$A:$H,5,FALSE)</f>
        <v>0</v>
      </c>
      <c r="AJ9" s="742">
        <f>VLOOKUP("Dwell Cyc Veh 8",Data!$A:$H,5,FALSE)</f>
        <v>0</v>
      </c>
      <c r="AK9" s="742">
        <f>VLOOKUP("Dwell Cyc Veh 9",Data!$A:$G,5,FALSE)</f>
        <v>0</v>
      </c>
      <c r="AL9" s="743">
        <f>VLOOKUP("Dwell Cyc Veh 10",Data!$A:$G,5,FALSE)</f>
        <v>0</v>
      </c>
      <c r="AO9" s="119"/>
      <c r="AP9" s="45"/>
      <c r="AQ9" s="45"/>
      <c r="AR9" s="45"/>
      <c r="AS9" s="45"/>
      <c r="AT9" s="45"/>
      <c r="AU9" s="45"/>
      <c r="AV9" s="45"/>
    </row>
    <row r="10" spans="1:48" ht="11.85" customHeight="1" thickBot="1">
      <c r="A10" s="543" t="s">
        <v>242</v>
      </c>
      <c r="B10" s="47" t="s">
        <v>240</v>
      </c>
      <c r="C10" s="48"/>
      <c r="D10" s="49"/>
      <c r="E10" s="692">
        <f>VLOOKUP("Conflict O1",Data!$A$1200:$I$1226,3,FALSE)</f>
        <v>0</v>
      </c>
      <c r="F10" s="693">
        <f>VLOOKUP("Conflict O2",Data!$A$1200:$I$1226,3,FALSE)</f>
        <v>0</v>
      </c>
      <c r="G10" s="693">
        <f>VLOOKUP("Conflict O3",Data!$A$1200:$I$1226,3,FALSE)</f>
        <v>0</v>
      </c>
      <c r="H10" s="693">
        <f>VLOOKUP("Conflict O4",Data!$A$1200:$I$1226,3,FALSE)</f>
        <v>0</v>
      </c>
      <c r="I10" s="693">
        <f>VLOOKUP("Conflict O5",Data!$A$1200:$I$1226,3,FALSE)</f>
        <v>0</v>
      </c>
      <c r="J10" s="693">
        <f>VLOOKUP("Conflict O6",Data!$A$1200:$I$1226,3,FALSE)</f>
        <v>0</v>
      </c>
      <c r="K10" s="693">
        <f>VLOOKUP("Conflict O7",Data!$A$1200:$I$1226,3,FALSE)</f>
        <v>0</v>
      </c>
      <c r="L10" s="694">
        <f>VLOOKUP("Conflict O8",Data!$A$1200:$I$1226,3,FALSE)</f>
        <v>0</v>
      </c>
      <c r="M10" s="51" t="s">
        <v>52</v>
      </c>
      <c r="N10" s="918">
        <f>VLOOKUP("Red",Data!$A$1196:$I$1196,3,FALSE)</f>
        <v>1</v>
      </c>
      <c r="O10" s="535"/>
      <c r="P10" s="122" t="s">
        <v>231</v>
      </c>
      <c r="Q10" s="309" t="s">
        <v>19</v>
      </c>
      <c r="R10" s="309" t="s">
        <v>243</v>
      </c>
      <c r="S10" s="309" t="s">
        <v>244</v>
      </c>
      <c r="T10" s="309" t="s">
        <v>245</v>
      </c>
      <c r="U10" s="309" t="s">
        <v>246</v>
      </c>
      <c r="V10" s="309" t="s">
        <v>247</v>
      </c>
      <c r="W10" s="309" t="s">
        <v>248</v>
      </c>
      <c r="X10" s="310" t="s">
        <v>22</v>
      </c>
      <c r="Y10" s="156"/>
      <c r="Z10" s="2228"/>
      <c r="AA10" s="2232" t="s">
        <v>238</v>
      </c>
      <c r="AB10" s="2233"/>
      <c r="AC10" s="769">
        <f>VLOOKUP("Dwell Cyc Ped1",Data!$A:$H,5,FALSE)</f>
        <v>0</v>
      </c>
      <c r="AD10" s="770">
        <f>VLOOKUP("Dwell Cyc Ped2",Data!$A:$H,5,FALSE)</f>
        <v>0</v>
      </c>
      <c r="AE10" s="770">
        <f>VLOOKUP("Dwell Cyc Ped3",Data!$A:$H,5,FALSE)</f>
        <v>0</v>
      </c>
      <c r="AF10" s="770">
        <f>VLOOKUP("Dwell Cyc Ped4",Data!$A:$H,5,FALSE)</f>
        <v>0</v>
      </c>
      <c r="AG10" s="770">
        <f>VLOOKUP("Dwell Cyc Ped5",Data!$A:$H,5,FALSE)</f>
        <v>0</v>
      </c>
      <c r="AH10" s="770">
        <f>VLOOKUP("Dwell Cyc Ped6",Data!$A:$H,5,FALSE)</f>
        <v>0</v>
      </c>
      <c r="AI10" s="770">
        <f>VLOOKUP("Dwell vPed7",Data!$A:$H,5,FALSE)</f>
        <v>0</v>
      </c>
      <c r="AJ10" s="770">
        <f>VLOOKUP("Dwell Cyc Ped8",Data!$A:$H,5,FALSE)</f>
        <v>0</v>
      </c>
      <c r="AK10" s="773"/>
      <c r="AL10" s="774"/>
      <c r="AO10" s="119"/>
      <c r="AP10" s="45"/>
      <c r="AQ10" s="45"/>
      <c r="AR10" s="45"/>
      <c r="AS10" s="45"/>
      <c r="AT10" s="45"/>
      <c r="AU10" s="45"/>
      <c r="AV10" s="45"/>
    </row>
    <row r="11" spans="1:48" ht="11.85" customHeight="1" thickTop="1">
      <c r="A11" s="545"/>
      <c r="B11" s="47" t="s">
        <v>241</v>
      </c>
      <c r="C11" s="48"/>
      <c r="D11" s="49"/>
      <c r="E11" s="695">
        <f>VLOOKUP("Conflict Ped 1",Data!$A$1200:$I$1226,3,FALSE)</f>
        <v>0</v>
      </c>
      <c r="F11" s="696">
        <f>VLOOKUP("Conflict Ped 2",Data!$A$1200:$I$1226,3,FALSE)</f>
        <v>0</v>
      </c>
      <c r="G11" s="696">
        <f>VLOOKUP("Conflict Ped 3",Data!$A$1200:$I$1226,3,FALSE)</f>
        <v>0</v>
      </c>
      <c r="H11" s="696">
        <f>VLOOKUP("Conflict Ped 4",Data!$A$1200:$I$1226,3,FALSE)</f>
        <v>0</v>
      </c>
      <c r="I11" s="696">
        <f>VLOOKUP("Conflict Ped 5",Data!$A$1200:$I$1226,3,FALSE)</f>
        <v>0</v>
      </c>
      <c r="J11" s="696">
        <f>VLOOKUP("Conflict Ped 6",Data!$A$1200:$I$1226,3,FALSE)</f>
        <v>0</v>
      </c>
      <c r="K11" s="696">
        <f>VLOOKUP("Conflict Ped 7",Data!$A$1200:$I$1226,3,FALSE)</f>
        <v>0</v>
      </c>
      <c r="L11" s="919">
        <f>VLOOKUP("Conflict Ped 8",Data!$A$1200:$I$1226,3,FALSE)</f>
        <v>0</v>
      </c>
      <c r="M11" s="2174"/>
      <c r="N11" s="2175"/>
      <c r="O11" s="535"/>
      <c r="P11" s="754">
        <v>1</v>
      </c>
      <c r="Q11" s="756">
        <f>VLOOKUP("Delay",Data!$A$1670:$G$1670,2,FALSE)</f>
        <v>0</v>
      </c>
      <c r="R11" s="713">
        <f>VLOOKUP("Min Duration",Data!$A$1699:$G$1699,2,FALSE)</f>
        <v>0</v>
      </c>
      <c r="S11" s="713">
        <f>VLOOKUP("Max Presence",Data!$A$1698:$G$1698,2,FALSE)</f>
        <v>0</v>
      </c>
      <c r="T11" s="713">
        <f>VLOOKUP("Min Green",Data!$A$1701:$G$1701,2,FALSE)</f>
        <v>0</v>
      </c>
      <c r="U11" s="713">
        <f>VLOOKUP("Min Walk",Data!$A$1702:$G$1702,2,FALSE)</f>
        <v>0</v>
      </c>
      <c r="V11" s="713">
        <f>VLOOKUP("Ped Clear",Data!$A$1705:$G$1705,2,FALSE)</f>
        <v>0</v>
      </c>
      <c r="W11" s="713">
        <f>VLOOKUP("Track Green",Data!$A$1706:$G$1706,2,FALSE)</f>
        <v>0</v>
      </c>
      <c r="X11" s="714">
        <f>VLOOKUP("Min Dwell",Data!$A$1700:$G$1700,2,FALSE)</f>
        <v>0</v>
      </c>
      <c r="Y11" s="156"/>
      <c r="Z11" s="2227">
        <v>5</v>
      </c>
      <c r="AA11" s="2234" t="s">
        <v>1055</v>
      </c>
      <c r="AB11" s="2235"/>
      <c r="AC11" s="741">
        <f>VLOOKUP("Dwell Cyc Veh 1",Data!$A:$H,6,FALSE)</f>
        <v>6</v>
      </c>
      <c r="AD11" s="742">
        <f>VLOOKUP("Dwell Cyc Veh 2",Data!$A:$H,6,FALSE)</f>
        <v>1</v>
      </c>
      <c r="AE11" s="742">
        <f>VLOOKUP("Dwell Cyc Veh 3",Data!$A:$H,6,FALSE)</f>
        <v>0</v>
      </c>
      <c r="AF11" s="742">
        <f>VLOOKUP("Dwell Cyc Veh 4",Data!$A:$H,6,FALSE)</f>
        <v>0</v>
      </c>
      <c r="AG11" s="742">
        <f>VLOOKUP("Dwell Cyc Veh 5",Data!$A:$H,6,FALSE)</f>
        <v>0</v>
      </c>
      <c r="AH11" s="742">
        <f>VLOOKUP("Dwell Cyc Veh 6",Data!$A:$H,6,FALSE)</f>
        <v>0</v>
      </c>
      <c r="AI11" s="742">
        <f>VLOOKUP("Dwell Cyc Veh 7",Data!$A:$H,6,FALSE)</f>
        <v>0</v>
      </c>
      <c r="AJ11" s="742">
        <f>VLOOKUP("Dwell Cyc Veh 8",Data!$A:$H,6,FALSE)</f>
        <v>0</v>
      </c>
      <c r="AK11" s="742">
        <f>VLOOKUP("Dwell Cyc Veh 9",Data!$A:$G,6,FALSE)</f>
        <v>0</v>
      </c>
      <c r="AL11" s="743">
        <f>VLOOKUP("Dwell Cyc Veh 10",Data!$A:$G,6,FALSE)</f>
        <v>0</v>
      </c>
      <c r="AO11" s="119"/>
      <c r="AP11" s="45"/>
      <c r="AQ11" s="45"/>
      <c r="AR11" s="45"/>
      <c r="AS11" s="45"/>
      <c r="AT11" s="45"/>
      <c r="AU11" s="45"/>
      <c r="AV11" s="45"/>
    </row>
    <row r="12" spans="1:48" ht="11.85" customHeight="1" thickBot="1">
      <c r="A12" s="542"/>
      <c r="B12" s="56" t="s">
        <v>230</v>
      </c>
      <c r="C12" s="53"/>
      <c r="D12" s="54"/>
      <c r="E12" s="686">
        <f>VLOOKUP("Included P1",Data!$A$1177:$I$1226,4,FALSE)</f>
        <v>0</v>
      </c>
      <c r="F12" s="687">
        <f>VLOOKUP("Included P2",Data!$A$1177:$I$1226,4,FALSE)</f>
        <v>0</v>
      </c>
      <c r="G12" s="687">
        <f>VLOOKUP("Included P3",Data!$A$1177:$I$1226,4,FALSE)</f>
        <v>0</v>
      </c>
      <c r="H12" s="687">
        <f>VLOOKUP("Included P4",Data!$A$1177:$I$1226,4,FALSE)</f>
        <v>0</v>
      </c>
      <c r="I12" s="687">
        <f>VLOOKUP("Included P5",Data!$A$1177:$I$1226,4,FALSE)</f>
        <v>0</v>
      </c>
      <c r="J12" s="687">
        <f>VLOOKUP("Included P6",Data!$A$1177:$I$1226,4,FALSE)</f>
        <v>0</v>
      </c>
      <c r="K12" s="687">
        <f>VLOOKUP("Included P7",Data!$A$1177:$I$1226,4,FALSE)</f>
        <v>0</v>
      </c>
      <c r="L12" s="688">
        <f>VLOOKUP("Included P8",Data!$A$1177:$I$1226,4,FALSE)</f>
        <v>0</v>
      </c>
      <c r="M12" s="2186" t="str">
        <f>VLOOKUP("Type",Data!$A$1197:$I$1197,4,FALSE)</f>
        <v>NORMAL</v>
      </c>
      <c r="N12" s="2187"/>
      <c r="O12" s="535"/>
      <c r="P12" s="754">
        <v>2</v>
      </c>
      <c r="Q12" s="757">
        <f>VLOOKUP("Delay",Data!$A$1670:$G$1670,3,FALSE)</f>
        <v>0</v>
      </c>
      <c r="R12" s="719">
        <f>VLOOKUP("Min Duration",Data!$A$1699:$G$1699,3,FALSE)</f>
        <v>0</v>
      </c>
      <c r="S12" s="719">
        <f>VLOOKUP("Max Presence",Data!$A$1698:$G$1698,3,FALSE)</f>
        <v>0</v>
      </c>
      <c r="T12" s="719">
        <f>VLOOKUP("Min Green",Data!$A$1701:$G$1701,3,FALSE)</f>
        <v>0</v>
      </c>
      <c r="U12" s="719">
        <f>VLOOKUP("Min Walk",Data!$A$1702:$G$1702,3,FALSE)</f>
        <v>0</v>
      </c>
      <c r="V12" s="719">
        <f>VLOOKUP("Ped Clear",Data!$A$1705:$G$1705,3,FALSE)</f>
        <v>0</v>
      </c>
      <c r="W12" s="719">
        <f>VLOOKUP("Track Green",Data!$A$1706:$G$1706,3,FALSE)</f>
        <v>0</v>
      </c>
      <c r="X12" s="720">
        <f>VLOOKUP("Min Dwell",Data!$A$1700:$G$1700,3,FALSE)</f>
        <v>0</v>
      </c>
      <c r="Y12" s="156"/>
      <c r="Z12" s="2228"/>
      <c r="AA12" s="2232" t="s">
        <v>238</v>
      </c>
      <c r="AB12" s="2233"/>
      <c r="AC12" s="769">
        <f>VLOOKUP("Dwell Cyc Ped1",Data!$A:$H,6,FALSE)</f>
        <v>0</v>
      </c>
      <c r="AD12" s="770">
        <f>VLOOKUP("Dwell Cyc Ped2",Data!$A:$H,6,FALSE)</f>
        <v>0</v>
      </c>
      <c r="AE12" s="770">
        <f>VLOOKUP("Dwell Cyc Ped3",Data!$A:$H,6,FALSE)</f>
        <v>0</v>
      </c>
      <c r="AF12" s="770">
        <f>VLOOKUP("Dwell Cyc Ped4",Data!$A:$H,6,FALSE)</f>
        <v>0</v>
      </c>
      <c r="AG12" s="770">
        <f>VLOOKUP("Dwell Cyc Ped5",Data!$A:$H,6,FALSE)</f>
        <v>0</v>
      </c>
      <c r="AH12" s="770">
        <f>VLOOKUP("Dwell Cyc Ped6",Data!$A:$H,6,FALSE)</f>
        <v>0</v>
      </c>
      <c r="AI12" s="770">
        <f>VLOOKUP("Dwell vPed7",Data!$A:$H,6,FALSE)</f>
        <v>0</v>
      </c>
      <c r="AJ12" s="770">
        <f>VLOOKUP("Dwell Cyc Ped8",Data!$A:$H,6,FALSE)</f>
        <v>0</v>
      </c>
      <c r="AK12" s="773"/>
      <c r="AL12" s="774"/>
      <c r="AO12" s="119"/>
      <c r="AP12" s="45"/>
      <c r="AQ12" s="45"/>
      <c r="AR12" s="45"/>
      <c r="AS12" s="45"/>
      <c r="AT12" s="45"/>
      <c r="AU12" s="45"/>
      <c r="AV12" s="45"/>
    </row>
    <row r="13" spans="1:48" ht="11.85" customHeight="1" thickTop="1">
      <c r="A13" s="543">
        <v>3</v>
      </c>
      <c r="B13" s="47" t="s">
        <v>236</v>
      </c>
      <c r="C13" s="48"/>
      <c r="D13" s="49"/>
      <c r="E13" s="689">
        <f>VLOOKUP("Modify P1",Data!$A$1177:$I$1226,4,FALSE)</f>
        <v>0</v>
      </c>
      <c r="F13" s="690">
        <f>VLOOKUP("Modify P2",Data!$A$1177:$I$1226,4,FALSE)</f>
        <v>0</v>
      </c>
      <c r="G13" s="690">
        <f>VLOOKUP("Modify P3",Data!$A$1177:$I$1226,4,FALSE)</f>
        <v>0</v>
      </c>
      <c r="H13" s="690">
        <f>VLOOKUP("Modify P4",Data!$A$1177:$I$1226,4,FALSE)</f>
        <v>0</v>
      </c>
      <c r="I13" s="690">
        <f>VLOOKUP("Modify P5",Data!$A$1177:$I$1226,4,FALSE)</f>
        <v>0</v>
      </c>
      <c r="J13" s="690">
        <f>VLOOKUP("Modify P6",Data!$A$1177:$I$1226,4,FALSE)</f>
        <v>0</v>
      </c>
      <c r="K13" s="690">
        <f>VLOOKUP("Modify P7",Data!$A$1177:$I$1226,4,FALSE)</f>
        <v>0</v>
      </c>
      <c r="L13" s="691">
        <f>VLOOKUP("Modify P8",Data!$A$1177:$I$1226,4,FALSE)</f>
        <v>0</v>
      </c>
      <c r="M13" s="51" t="s">
        <v>50</v>
      </c>
      <c r="N13" s="918">
        <f>VLOOKUP("Green",Data!$A$1179:$I$1179,4,FALSE)</f>
        <v>0</v>
      </c>
      <c r="O13" s="535"/>
      <c r="P13" s="754">
        <v>3</v>
      </c>
      <c r="Q13" s="758">
        <f>VLOOKUP("Delay",Data!$A$1670:$G$1670,4,FALSE)</f>
        <v>0</v>
      </c>
      <c r="R13" s="716">
        <f>VLOOKUP("Min Duration",Data!$A$1699:$G$1699,4,FALSE)</f>
        <v>0</v>
      </c>
      <c r="S13" s="716">
        <f>VLOOKUP("Max Presence",Data!$A$1698:$G$1698,4,FALSE)</f>
        <v>0</v>
      </c>
      <c r="T13" s="716">
        <f>VLOOKUP("Min Green",Data!$A$1701:$G$1701,4,FALSE)</f>
        <v>0</v>
      </c>
      <c r="U13" s="716">
        <f>VLOOKUP("Min Walk",Data!$A$1702:$G$1702,4,FALSE)</f>
        <v>0</v>
      </c>
      <c r="V13" s="716">
        <f>VLOOKUP("Ped Clear",Data!$A$1705:$G$1705,4,FALSE)</f>
        <v>0</v>
      </c>
      <c r="W13" s="716">
        <f>VLOOKUP("Track Green",Data!$A$1706:$G$1706,4,FALSE)</f>
        <v>0</v>
      </c>
      <c r="X13" s="717">
        <f>VLOOKUP("Min Dwell",Data!$A$1700:$G$1700,4,FALSE)</f>
        <v>0</v>
      </c>
      <c r="Y13" s="156"/>
      <c r="Z13" s="2227">
        <v>6</v>
      </c>
      <c r="AA13" s="2234" t="s">
        <v>1055</v>
      </c>
      <c r="AB13" s="2235"/>
      <c r="AC13" s="741">
        <f>VLOOKUP("Dwell Cyc Veh 1",Data!$A:$H,7,FALSE)</f>
        <v>8</v>
      </c>
      <c r="AD13" s="742">
        <f>VLOOKUP("Dwell Cyc Veh 2",Data!$A:$H,7,FALSE)</f>
        <v>3</v>
      </c>
      <c r="AE13" s="742">
        <f>VLOOKUP("Dwell Cyc Veh 3",Data!$A:$H,7,FALSE)</f>
        <v>0</v>
      </c>
      <c r="AF13" s="742">
        <f>VLOOKUP("Dwell Cyc Veh 4",Data!$A:$H,7,FALSE)</f>
        <v>0</v>
      </c>
      <c r="AG13" s="742">
        <f>VLOOKUP("Dwell Cyc Veh 5",Data!$A:$H,7,FALSE)</f>
        <v>0</v>
      </c>
      <c r="AH13" s="742">
        <f>VLOOKUP("Dwell Cyc Veh 6",Data!$A:$H,7,FALSE)</f>
        <v>0</v>
      </c>
      <c r="AI13" s="742">
        <f>VLOOKUP("Dwell Cyc Veh 7",Data!$A:$H,7,FALSE)</f>
        <v>0</v>
      </c>
      <c r="AJ13" s="742">
        <f>VLOOKUP("Dwell Cyc Veh 8",Data!$A:$H,7,FALSE)</f>
        <v>0</v>
      </c>
      <c r="AK13" s="742">
        <f>VLOOKUP("Dwell Cyc Veh 9",Data!$A:$G,7,FALSE)</f>
        <v>0</v>
      </c>
      <c r="AL13" s="743">
        <f>VLOOKUP("Dwell Cyc Veh 10",Data!$A:$G,7,FALSE)</f>
        <v>0</v>
      </c>
      <c r="AO13" s="119"/>
      <c r="AP13" s="45"/>
      <c r="AQ13" s="45"/>
      <c r="AR13" s="45"/>
      <c r="AS13" s="45"/>
      <c r="AT13" s="45"/>
      <c r="AU13" s="45"/>
      <c r="AV13" s="45"/>
    </row>
    <row r="14" spans="1:48" ht="11.85" customHeight="1" thickBot="1">
      <c r="A14" s="543"/>
      <c r="B14" s="47" t="s">
        <v>237</v>
      </c>
      <c r="C14" s="48"/>
      <c r="D14" s="49"/>
      <c r="E14" s="692">
        <f>VLOOKUP("Conflict P1",Data!$A$1200:$I$1226,4,FALSE)</f>
        <v>0</v>
      </c>
      <c r="F14" s="693">
        <f>VLOOKUP("Conflict P2",Data!$A$1200:$I$1226,4,FALSE)</f>
        <v>0</v>
      </c>
      <c r="G14" s="693">
        <f>VLOOKUP("Conflict P3",Data!$A$1200:$I$1226,4,FALSE)</f>
        <v>0</v>
      </c>
      <c r="H14" s="693">
        <f>VLOOKUP("Conflict P4",Data!$A$1200:$I$1226,4,FALSE)</f>
        <v>0</v>
      </c>
      <c r="I14" s="693">
        <f>VLOOKUP("Conflict P5",Data!$A$1200:$I$1226,4,FALSE)</f>
        <v>0</v>
      </c>
      <c r="J14" s="693">
        <f>VLOOKUP("Conflict P6",Data!$A$1200:$I$1226,4,FALSE)</f>
        <v>0</v>
      </c>
      <c r="K14" s="693">
        <f>VLOOKUP("Conflict P7",Data!$A$1200:$I$1226,4,FALSE)</f>
        <v>0</v>
      </c>
      <c r="L14" s="694">
        <f>VLOOKUP("Conflict P8",Data!$A$1200:$I$1226,4,FALSE)</f>
        <v>0</v>
      </c>
      <c r="M14" s="51" t="s">
        <v>51</v>
      </c>
      <c r="N14" s="918">
        <f>VLOOKUP("Yellow",Data!$A$1198:$I$1198,4,FALSE)</f>
        <v>3</v>
      </c>
      <c r="O14" s="535"/>
      <c r="P14" s="754">
        <v>4</v>
      </c>
      <c r="Q14" s="757">
        <f>VLOOKUP("Delay",Data!$A$1670:$G$1670,5,FALSE)</f>
        <v>0</v>
      </c>
      <c r="R14" s="719">
        <f>VLOOKUP("Min Duration",Data!$A$1699:$G$1699,5,FALSE)</f>
        <v>0</v>
      </c>
      <c r="S14" s="719">
        <f>VLOOKUP("Max Presence",Data!$A$1698:$G$1698,5,FALSE)</f>
        <v>0</v>
      </c>
      <c r="T14" s="719">
        <f>VLOOKUP("Min Green",Data!$A$1701:$G$1701,5,FALSE)</f>
        <v>0</v>
      </c>
      <c r="U14" s="719">
        <f>VLOOKUP("Min Walk",Data!$A$1702:$G$1702,5,FALSE)</f>
        <v>0</v>
      </c>
      <c r="V14" s="719">
        <f>VLOOKUP("Ped Clear",Data!$A$1705:$G$1705,5,FALSE)</f>
        <v>0</v>
      </c>
      <c r="W14" s="719">
        <f>VLOOKUP("Track Green",Data!$A$1706:$G$1706,5,FALSE)</f>
        <v>0</v>
      </c>
      <c r="X14" s="720">
        <f>VLOOKUP("Min Dwell",Data!$A$1700:$G$1700,5,FALSE)</f>
        <v>0</v>
      </c>
      <c r="Y14" s="156"/>
      <c r="Z14" s="2229"/>
      <c r="AA14" s="2236" t="s">
        <v>238</v>
      </c>
      <c r="AB14" s="2237"/>
      <c r="AC14" s="771">
        <f>VLOOKUP("Dwell Cyc Ped1",Data!$A:$H,7,FALSE)</f>
        <v>0</v>
      </c>
      <c r="AD14" s="772">
        <f>VLOOKUP("Dwell Cyc Ped2",Data!$A:$H,7,FALSE)</f>
        <v>0</v>
      </c>
      <c r="AE14" s="772">
        <f>VLOOKUP("Dwell Cyc Ped3",Data!$A:$H,7,FALSE)</f>
        <v>0</v>
      </c>
      <c r="AF14" s="772">
        <f>VLOOKUP("Dwell Cyc Ped4",Data!$A:$H,7,FALSE)</f>
        <v>0</v>
      </c>
      <c r="AG14" s="772">
        <f>VLOOKUP("Dwell Cyc Ped5",Data!$A:$H,7,FALSE)</f>
        <v>0</v>
      </c>
      <c r="AH14" s="772">
        <f>VLOOKUP("Dwell Cyc Ped6",Data!$A:$H,7,FALSE)</f>
        <v>0</v>
      </c>
      <c r="AI14" s="772">
        <f>VLOOKUP("Dwell vPed7",Data!$A:$H,7,FALSE)</f>
        <v>0</v>
      </c>
      <c r="AJ14" s="772">
        <f>VLOOKUP("Dwell Cyc Ped8",Data!$A:$H,7,FALSE)</f>
        <v>0</v>
      </c>
      <c r="AK14" s="775"/>
      <c r="AL14" s="776"/>
      <c r="AO14" s="119"/>
      <c r="AP14" s="45"/>
      <c r="AQ14" s="45"/>
      <c r="AR14" s="45"/>
      <c r="AS14" s="45"/>
      <c r="AT14" s="45"/>
      <c r="AU14" s="45"/>
      <c r="AV14" s="45"/>
    </row>
    <row r="15" spans="1:48" ht="11.85" customHeight="1">
      <c r="A15" s="543" t="s">
        <v>54</v>
      </c>
      <c r="B15" s="47" t="s">
        <v>240</v>
      </c>
      <c r="C15" s="48"/>
      <c r="D15" s="49"/>
      <c r="E15" s="692">
        <f>VLOOKUP("Conflict O1",Data!$A$1200:$I$1226,4,FALSE)</f>
        <v>0</v>
      </c>
      <c r="F15" s="693">
        <f>VLOOKUP("Conflict O2",Data!$A$1200:$I$1226,4,FALSE)</f>
        <v>0</v>
      </c>
      <c r="G15" s="693">
        <f>VLOOKUP("Conflict O3",Data!$A$1200:$I$1226,4,FALSE)</f>
        <v>0</v>
      </c>
      <c r="H15" s="693">
        <f>VLOOKUP("Conflict O4",Data!$A$1200:$I$1226,4,FALSE)</f>
        <v>0</v>
      </c>
      <c r="I15" s="693">
        <f>VLOOKUP("Conflict O5",Data!$A$1200:$I$1226,4,FALSE)</f>
        <v>0</v>
      </c>
      <c r="J15" s="693">
        <f>VLOOKUP("Conflict O6",Data!$A$1200:$I$1226,4,FALSE)</f>
        <v>0</v>
      </c>
      <c r="K15" s="693">
        <f>VLOOKUP("Conflict O7",Data!$A$1200:$I$1226,4,FALSE)</f>
        <v>0</v>
      </c>
      <c r="L15" s="694">
        <f>VLOOKUP("Conflict O8",Data!$A$1200:$I$1226,4,FALSE)</f>
        <v>0</v>
      </c>
      <c r="M15" s="51" t="s">
        <v>52</v>
      </c>
      <c r="N15" s="918">
        <f>VLOOKUP("Red",Data!$A$1196:$I$1196,4,FALSE)</f>
        <v>1</v>
      </c>
      <c r="O15" s="535"/>
      <c r="P15" s="754">
        <v>5</v>
      </c>
      <c r="Q15" s="758">
        <f>VLOOKUP("Delay",Data!$A$1670:$G$1670,6,FALSE)</f>
        <v>0</v>
      </c>
      <c r="R15" s="716">
        <f>VLOOKUP("Min Duration",Data!$A$1699:$G$1699,6,FALSE)</f>
        <v>0</v>
      </c>
      <c r="S15" s="716">
        <f>VLOOKUP("Max Presence",Data!$A$1698:$G$1698,6,FALSE)</f>
        <v>0</v>
      </c>
      <c r="T15" s="716">
        <f>VLOOKUP("Min Green",Data!$A$1701:$G$1701,6,FALSE)</f>
        <v>0</v>
      </c>
      <c r="U15" s="716">
        <f>VLOOKUP("Min Walk",Data!$A$1702:$G$1702,6,FALSE)</f>
        <v>0</v>
      </c>
      <c r="V15" s="716">
        <f>VLOOKUP("Ped Clear",Data!$A$1705:$G$1705,6,FALSE)</f>
        <v>0</v>
      </c>
      <c r="W15" s="716">
        <f>VLOOKUP("Track Green",Data!$A$1706:$G$1706,6,FALSE)</f>
        <v>0</v>
      </c>
      <c r="X15" s="717">
        <f>VLOOKUP("Min Dwell",Data!$A$1700:$G$1700,6,FALSE)</f>
        <v>0</v>
      </c>
      <c r="Y15" s="156"/>
      <c r="Z15" s="2238" t="s">
        <v>1060</v>
      </c>
      <c r="AA15" s="2239"/>
      <c r="AB15" s="2239"/>
      <c r="AC15" s="2239"/>
      <c r="AD15" s="2239"/>
      <c r="AE15" s="156"/>
      <c r="AF15" s="479" t="s">
        <v>1061</v>
      </c>
      <c r="AG15" s="214"/>
      <c r="AH15" s="214"/>
      <c r="AI15" s="214"/>
      <c r="AJ15" s="214"/>
      <c r="AK15" s="156"/>
      <c r="AL15" s="212"/>
      <c r="AO15" s="119"/>
      <c r="AP15" s="45"/>
      <c r="AQ15" s="45"/>
      <c r="AR15" s="45"/>
      <c r="AS15" s="45"/>
      <c r="AT15" s="45"/>
      <c r="AU15" s="45"/>
      <c r="AV15" s="45"/>
    </row>
    <row r="16" spans="1:48" ht="11.85" customHeight="1" thickBot="1">
      <c r="A16" s="543"/>
      <c r="B16" s="52" t="s">
        <v>241</v>
      </c>
      <c r="C16" s="57"/>
      <c r="D16" s="49"/>
      <c r="E16" s="695">
        <f>VLOOKUP("Conflict Ped 1",Data!$A$1200:$I$1226,4,FALSE)</f>
        <v>0</v>
      </c>
      <c r="F16" s="696">
        <f>VLOOKUP("Conflict Ped 2",Data!$A$1200:$I$1226,4,FALSE)</f>
        <v>0</v>
      </c>
      <c r="G16" s="696">
        <f>VLOOKUP("Conflict Ped 3",Data!$A$1200:$I$1226,4,FALSE)</f>
        <v>0</v>
      </c>
      <c r="H16" s="696">
        <f>VLOOKUP("Conflict Ped 4",Data!$A$1200:$I$1226,4,FALSE)</f>
        <v>0</v>
      </c>
      <c r="I16" s="696">
        <f>VLOOKUP("Conflict Ped 5",Data!$A$1200:$I$1226,4,FALSE)</f>
        <v>0</v>
      </c>
      <c r="J16" s="696">
        <f>VLOOKUP("Conflict Ped 6",Data!$A$1200:$I$1226,4,FALSE)</f>
        <v>0</v>
      </c>
      <c r="K16" s="696">
        <f>VLOOKUP("Conflict Ped 7",Data!$A$1200:$I$1226,4,FALSE)</f>
        <v>0</v>
      </c>
      <c r="L16" s="919">
        <f>VLOOKUP("Conflict Ped 8",Data!$A$1200:$I$1226,4,FALSE)</f>
        <v>0</v>
      </c>
      <c r="M16" s="2174"/>
      <c r="N16" s="2175"/>
      <c r="O16" s="536"/>
      <c r="P16" s="755">
        <v>6</v>
      </c>
      <c r="Q16" s="759">
        <f>VLOOKUP("Delay",Data!$A$1670:$G$1670,7,FALSE)</f>
        <v>0</v>
      </c>
      <c r="R16" s="719">
        <f>VLOOKUP("Min Duration",Data!$A$1699:$G$1699,7,FALSE)</f>
        <v>0</v>
      </c>
      <c r="S16" s="719">
        <f>VLOOKUP("Max Presence",Data!$A$1698:$G$1698,7,FALSE)</f>
        <v>0</v>
      </c>
      <c r="T16" s="719">
        <f>VLOOKUP("Min Green",Data!$A$1701:$G$1701,7,FALSE)</f>
        <v>0</v>
      </c>
      <c r="U16" s="719">
        <f>VLOOKUP("Min Walk",Data!$A$1702:$G$1702,7,FALSE)</f>
        <v>0</v>
      </c>
      <c r="V16" s="719">
        <f>VLOOKUP("Ped Clear",Data!$A$1705:$G$1705,7,FALSE)</f>
        <v>0</v>
      </c>
      <c r="W16" s="719">
        <f>VLOOKUP("Track Green",Data!$A$1706:$G$1706,7,FALSE)</f>
        <v>0</v>
      </c>
      <c r="X16" s="720">
        <f>VLOOKUP("Min Dwell",Data!$A$1700:$G$1700,7,FALSE)</f>
        <v>0</v>
      </c>
      <c r="Y16" s="156"/>
      <c r="Z16" s="311" t="s">
        <v>231</v>
      </c>
      <c r="AA16" s="2248" t="s">
        <v>147</v>
      </c>
      <c r="AB16" s="2248"/>
      <c r="AC16" s="2248"/>
      <c r="AD16" s="2249"/>
      <c r="AE16" s="156"/>
      <c r="AF16" s="307" t="s">
        <v>249</v>
      </c>
      <c r="AG16" s="2247" t="s">
        <v>62</v>
      </c>
      <c r="AH16" s="2248"/>
      <c r="AI16" s="2248"/>
      <c r="AJ16" s="2249"/>
      <c r="AK16" s="156"/>
      <c r="AL16" s="212"/>
      <c r="AO16" s="119"/>
      <c r="AP16" s="45"/>
      <c r="AQ16" s="45"/>
      <c r="AR16" s="45"/>
      <c r="AS16" s="45"/>
      <c r="AT16" s="45"/>
      <c r="AU16" s="45"/>
      <c r="AV16" s="45"/>
    </row>
    <row r="17" spans="1:48" ht="11.85" customHeight="1">
      <c r="A17" s="544"/>
      <c r="B17" s="47" t="s">
        <v>230</v>
      </c>
      <c r="C17" s="48"/>
      <c r="D17" s="49"/>
      <c r="E17" s="686">
        <f>VLOOKUP("Included P1",Data!$A$1177:$I$1226,5,FALSE)</f>
        <v>0</v>
      </c>
      <c r="F17" s="687">
        <f>VLOOKUP("Included P2",Data!$A$1177:$I$1226,5,FALSE)</f>
        <v>0</v>
      </c>
      <c r="G17" s="687">
        <f>VLOOKUP("Included P3",Data!$A$1177:$I$1226,5,FALSE)</f>
        <v>0</v>
      </c>
      <c r="H17" s="687">
        <f>VLOOKUP("Included P4",Data!$A$1177:$I$1226,5,FALSE)</f>
        <v>0</v>
      </c>
      <c r="I17" s="687">
        <f>VLOOKUP("Included P5",Data!$A$1177:$I$1226,5,FALSE)</f>
        <v>0</v>
      </c>
      <c r="J17" s="687">
        <f>VLOOKUP("Included P6",Data!$A$1177:$I$1226,5,FALSE)</f>
        <v>0</v>
      </c>
      <c r="K17" s="687">
        <f>VLOOKUP("Included P7",Data!$A$1177:$I$1226,5,FALSE)</f>
        <v>0</v>
      </c>
      <c r="L17" s="688">
        <f>VLOOKUP("Included P8",Data!$A$1177:$I$1226,5,FALSE)</f>
        <v>0</v>
      </c>
      <c r="M17" s="2186" t="str">
        <f>VLOOKUP("Type",Data!$A$1197:$I$1197,5,FALSE)</f>
        <v>NORMAL</v>
      </c>
      <c r="N17" s="2187"/>
      <c r="O17" s="535"/>
      <c r="P17" s="318"/>
      <c r="Q17" s="191"/>
      <c r="R17" s="191"/>
      <c r="S17" s="191"/>
      <c r="T17" s="191"/>
      <c r="U17" s="191"/>
      <c r="V17" s="191"/>
      <c r="W17" s="191"/>
      <c r="X17" s="317"/>
      <c r="Y17" s="156"/>
      <c r="Z17" s="63">
        <v>1</v>
      </c>
      <c r="AA17" s="777">
        <f>VLOOKUP("Track Veh 1",Data!$A:$G,2,FALSE)</f>
        <v>0</v>
      </c>
      <c r="AB17" s="778">
        <f>VLOOKUP("Track Veh 2",Data!$A:$G,2,FALSE)</f>
        <v>0</v>
      </c>
      <c r="AC17" s="778">
        <f>VLOOKUP("Track Veh 3",Data!$A:$G,2,FALSE)</f>
        <v>0</v>
      </c>
      <c r="AD17" s="779">
        <f>VLOOKUP("Track Veh 4",Data!$A:$G,2,FALSE)</f>
        <v>0</v>
      </c>
      <c r="AE17" s="156"/>
      <c r="AF17" s="55">
        <v>1</v>
      </c>
      <c r="AG17" s="777">
        <f>VLOOKUP("Exit 1",Data!$A:$G,2,FALSE)</f>
        <v>0</v>
      </c>
      <c r="AH17" s="778">
        <f>VLOOKUP("Exit 2",Data!$A:$G,2,FALSE)</f>
        <v>0</v>
      </c>
      <c r="AI17" s="778">
        <f>VLOOKUP("Exit 3",Data!$A:$G,2,FALSE)</f>
        <v>0</v>
      </c>
      <c r="AJ17" s="779">
        <f>VLOOKUP("Exit 4",Data!$A:$G,2,FALSE)</f>
        <v>0</v>
      </c>
      <c r="AK17" s="156"/>
      <c r="AL17" s="212"/>
      <c r="AO17" s="119"/>
      <c r="AP17" s="45"/>
      <c r="AQ17" s="45"/>
      <c r="AR17" s="45"/>
      <c r="AS17" s="45"/>
      <c r="AT17" s="45"/>
      <c r="AU17" s="45"/>
      <c r="AV17" s="45"/>
    </row>
    <row r="18" spans="1:48" ht="11.85" customHeight="1">
      <c r="A18" s="543">
        <v>4</v>
      </c>
      <c r="B18" s="47" t="s">
        <v>236</v>
      </c>
      <c r="C18" s="48"/>
      <c r="D18" s="49"/>
      <c r="E18" s="689">
        <f>VLOOKUP("Modify P1",Data!$A$1177:$I$1226,5,FALSE)</f>
        <v>0</v>
      </c>
      <c r="F18" s="690">
        <f>VLOOKUP("Modify P2",Data!$A$1177:$I$1226,5,FALSE)</f>
        <v>0</v>
      </c>
      <c r="G18" s="690">
        <f>VLOOKUP("Modify P3",Data!$A$1177:$I$1226,5,FALSE)</f>
        <v>0</v>
      </c>
      <c r="H18" s="690">
        <f>VLOOKUP("Modify P4",Data!$A$1177:$I$1226,5,FALSE)</f>
        <v>0</v>
      </c>
      <c r="I18" s="690">
        <f>VLOOKUP("Modify P5",Data!$A$1177:$I$1226,5,FALSE)</f>
        <v>0</v>
      </c>
      <c r="J18" s="690">
        <f>VLOOKUP("Modify P6",Data!$A$1177:$I$1226,5,FALSE)</f>
        <v>0</v>
      </c>
      <c r="K18" s="690">
        <f>VLOOKUP("Modify P7",Data!$A$1177:$I$1226,5,FALSE)</f>
        <v>0</v>
      </c>
      <c r="L18" s="691">
        <f>VLOOKUP("Modify P8",Data!$A$1177:$I$1226,5,FALSE)</f>
        <v>0</v>
      </c>
      <c r="M18" s="51" t="s">
        <v>50</v>
      </c>
      <c r="N18" s="918">
        <f>VLOOKUP("Green",Data!$A$1179:$I$1179,5,FALSE)</f>
        <v>0</v>
      </c>
      <c r="O18" s="535"/>
      <c r="P18" s="2197" t="s">
        <v>1057</v>
      </c>
      <c r="Q18" s="2198"/>
      <c r="R18" s="2198"/>
      <c r="S18" s="2198"/>
      <c r="T18" s="2198"/>
      <c r="U18" s="2198"/>
      <c r="V18" s="2198"/>
      <c r="W18" s="2198"/>
      <c r="X18" s="2199"/>
      <c r="Y18" s="156"/>
      <c r="Z18" s="63">
        <v>2</v>
      </c>
      <c r="AA18" s="777">
        <f>VLOOKUP("Track Veh 1",Data!$A:$G,3,FALSE)</f>
        <v>0</v>
      </c>
      <c r="AB18" s="778">
        <f>VLOOKUP("Track Veh 2",Data!$A:$G,3,FALSE)</f>
        <v>0</v>
      </c>
      <c r="AC18" s="778">
        <f>VLOOKUP("Track Veh 3",Data!$A:$G,3,FALSE)</f>
        <v>0</v>
      </c>
      <c r="AD18" s="779">
        <f>VLOOKUP("Track Veh 4",Data!$A:$G,3,FALSE)</f>
        <v>0</v>
      </c>
      <c r="AE18" s="156"/>
      <c r="AF18" s="55">
        <v>2</v>
      </c>
      <c r="AG18" s="777">
        <f>VLOOKUP("Exit 1",Data!$A:$G,3,FALSE)</f>
        <v>0</v>
      </c>
      <c r="AH18" s="778">
        <f>VLOOKUP("Exit 2",Data!$A:$G,3,FALSE)</f>
        <v>0</v>
      </c>
      <c r="AI18" s="778">
        <f>VLOOKUP("Exit 3",Data!$A:$G,3,FALSE)</f>
        <v>0</v>
      </c>
      <c r="AJ18" s="779">
        <f>VLOOKUP("Exit 4",Data!$A:$G,3,FALSE)</f>
        <v>0</v>
      </c>
      <c r="AK18" s="156"/>
      <c r="AL18" s="212"/>
      <c r="AO18" s="119"/>
      <c r="AP18" s="45"/>
      <c r="AQ18" s="45"/>
      <c r="AR18" s="45"/>
      <c r="AS18" s="45"/>
      <c r="AT18" s="45"/>
      <c r="AU18" s="45"/>
      <c r="AV18" s="45"/>
    </row>
    <row r="19" spans="1:48" ht="11.85" customHeight="1">
      <c r="A19" s="543"/>
      <c r="B19" s="47" t="s">
        <v>237</v>
      </c>
      <c r="C19" s="48"/>
      <c r="D19" s="49"/>
      <c r="E19" s="692">
        <f>VLOOKUP("Conflict P1",Data!$A$1200:$I$1226,5,FALSE)</f>
        <v>0</v>
      </c>
      <c r="F19" s="693">
        <f>VLOOKUP("Conflict P2",Data!$A$1200:$I$1226,5,FALSE)</f>
        <v>0</v>
      </c>
      <c r="G19" s="693">
        <f>VLOOKUP("Conflict P3",Data!$A$1200:$I$1226,5,FALSE)</f>
        <v>0</v>
      </c>
      <c r="H19" s="693">
        <f>VLOOKUP("Conflict P4",Data!$A$1200:$I$1226,5,FALSE)</f>
        <v>0</v>
      </c>
      <c r="I19" s="693">
        <f>VLOOKUP("Conflict P5",Data!$A$1200:$I$1226,5,FALSE)</f>
        <v>0</v>
      </c>
      <c r="J19" s="693">
        <f>VLOOKUP("Conflict P6",Data!$A$1200:$I$1226,5,FALSE)</f>
        <v>0</v>
      </c>
      <c r="K19" s="693">
        <f>VLOOKUP("Conflict P7",Data!$A$1200:$I$1226,5,FALSE)</f>
        <v>0</v>
      </c>
      <c r="L19" s="694">
        <f>VLOOKUP("Conflict P8",Data!$A$1200:$I$1226,5,FALSE)</f>
        <v>0</v>
      </c>
      <c r="M19" s="51" t="s">
        <v>51</v>
      </c>
      <c r="N19" s="918">
        <f>VLOOKUP("Yellow",Data!$A$1198:$I$1198,5,FALSE)</f>
        <v>3</v>
      </c>
      <c r="O19" s="535"/>
      <c r="P19" s="2200" t="s">
        <v>231</v>
      </c>
      <c r="Q19" s="2202" t="s">
        <v>21</v>
      </c>
      <c r="R19" s="2204" t="s">
        <v>250</v>
      </c>
      <c r="S19" s="2205"/>
      <c r="T19" s="2208" t="s">
        <v>3751</v>
      </c>
      <c r="U19" s="2209"/>
      <c r="V19" s="2212" t="s">
        <v>20</v>
      </c>
      <c r="W19" s="2213"/>
      <c r="X19" s="2216" t="s">
        <v>7</v>
      </c>
      <c r="Y19" s="156"/>
      <c r="Z19" s="63">
        <v>3</v>
      </c>
      <c r="AA19" s="777">
        <f>VLOOKUP("Track Veh 1",Data!$A:$G,4,FALSE)</f>
        <v>0</v>
      </c>
      <c r="AB19" s="778">
        <f>VLOOKUP("Track Veh 2",Data!$A:$G,4,FALSE)</f>
        <v>0</v>
      </c>
      <c r="AC19" s="778">
        <f>VLOOKUP("Track Veh 3",Data!$A:$G,4,FALSE)</f>
        <v>0</v>
      </c>
      <c r="AD19" s="779">
        <f>VLOOKUP("Track Veh 4",Data!$A:$G,4,FALSE)</f>
        <v>0</v>
      </c>
      <c r="AE19" s="156"/>
      <c r="AF19" s="55">
        <v>3</v>
      </c>
      <c r="AG19" s="777">
        <f>VLOOKUP("Exit 1",Data!$A:$G,4,FALSE)</f>
        <v>2</v>
      </c>
      <c r="AH19" s="778">
        <f>VLOOKUP("Exit 2",Data!$A:$G,4,FALSE)</f>
        <v>6</v>
      </c>
      <c r="AI19" s="778">
        <f>VLOOKUP("Exit 3",Data!$A:$G,4,FALSE)</f>
        <v>0</v>
      </c>
      <c r="AJ19" s="779">
        <f>VLOOKUP("Exit 4",Data!$A:$G,4,FALSE)</f>
        <v>0</v>
      </c>
      <c r="AK19" s="156"/>
      <c r="AL19" s="212"/>
      <c r="AO19" s="550"/>
      <c r="AP19" s="45"/>
      <c r="AQ19" s="45"/>
      <c r="AR19" s="45"/>
      <c r="AS19" s="45"/>
      <c r="AT19" s="45"/>
      <c r="AU19" s="45"/>
      <c r="AV19" s="45"/>
    </row>
    <row r="20" spans="1:48" ht="11.85" customHeight="1" thickBot="1">
      <c r="A20" s="543" t="s">
        <v>251</v>
      </c>
      <c r="B20" s="47" t="s">
        <v>240</v>
      </c>
      <c r="C20" s="48"/>
      <c r="D20" s="49"/>
      <c r="E20" s="692">
        <f>VLOOKUP("Conflict O1",Data!$A$1200:$I$1226,5,FALSE)</f>
        <v>0</v>
      </c>
      <c r="F20" s="693">
        <f>VLOOKUP("Conflict O2",Data!$A$1200:$I$1226,5,FALSE)</f>
        <v>0</v>
      </c>
      <c r="G20" s="693">
        <f>VLOOKUP("Conflict O3",Data!$A$1200:$I$1226,5,FALSE)</f>
        <v>0</v>
      </c>
      <c r="H20" s="693">
        <f>VLOOKUP("Conflict O4",Data!$A$1200:$I$1226,5,FALSE)</f>
        <v>0</v>
      </c>
      <c r="I20" s="693">
        <f>VLOOKUP("Conflict O5",Data!$A$1200:$I$1226,5,FALSE)</f>
        <v>0</v>
      </c>
      <c r="J20" s="693">
        <f>VLOOKUP("Conflict O6",Data!$A$1200:$I$1226,5,FALSE)</f>
        <v>0</v>
      </c>
      <c r="K20" s="693">
        <f>VLOOKUP("Conflict O7",Data!$A$1200:$I$1226,5,FALSE)</f>
        <v>0</v>
      </c>
      <c r="L20" s="694">
        <f>VLOOKUP("Conflict O8",Data!$A$1200:$I$1226,5,FALSE)</f>
        <v>0</v>
      </c>
      <c r="M20" s="51" t="s">
        <v>52</v>
      </c>
      <c r="N20" s="918">
        <f>VLOOKUP("Red",Data!$A$1196:$I$1196,5,FALSE)</f>
        <v>1</v>
      </c>
      <c r="O20" s="535"/>
      <c r="P20" s="2201"/>
      <c r="Q20" s="2203"/>
      <c r="R20" s="2206"/>
      <c r="S20" s="2207"/>
      <c r="T20" s="2210"/>
      <c r="U20" s="2211"/>
      <c r="V20" s="2214"/>
      <c r="W20" s="2215"/>
      <c r="X20" s="2217"/>
      <c r="Y20" s="156"/>
      <c r="Z20" s="63">
        <v>4</v>
      </c>
      <c r="AA20" s="777">
        <f>VLOOKUP("Track Veh 1",Data!$A:$G,5,FALSE)</f>
        <v>0</v>
      </c>
      <c r="AB20" s="778">
        <f>VLOOKUP("Track Veh 2",Data!$A:$G,5,FALSE)</f>
        <v>0</v>
      </c>
      <c r="AC20" s="778">
        <f>VLOOKUP("Track Veh 3",Data!$A:$G,5,FALSE)</f>
        <v>0</v>
      </c>
      <c r="AD20" s="779">
        <f>VLOOKUP("Track Veh 4",Data!$A:$G,5,FALSE)</f>
        <v>0</v>
      </c>
      <c r="AE20" s="156"/>
      <c r="AF20" s="55">
        <v>4</v>
      </c>
      <c r="AG20" s="777">
        <f>VLOOKUP("Exit 1",Data!$A:$G,5,FALSE)</f>
        <v>4</v>
      </c>
      <c r="AH20" s="778">
        <f>VLOOKUP("Exit 2",Data!$A:$G,5,FALSE)</f>
        <v>8</v>
      </c>
      <c r="AI20" s="778">
        <f>VLOOKUP("Exit 3",Data!$A:$G,5,FALSE)</f>
        <v>0</v>
      </c>
      <c r="AJ20" s="779">
        <f>VLOOKUP("Exit 4",Data!$A:$G,5,FALSE)</f>
        <v>0</v>
      </c>
      <c r="AK20" s="156"/>
      <c r="AL20" s="212"/>
      <c r="AO20" s="119"/>
      <c r="AP20" s="45"/>
      <c r="AQ20" s="45"/>
      <c r="AR20" s="45"/>
      <c r="AT20" s="45"/>
      <c r="AU20" s="45"/>
      <c r="AV20" s="45"/>
    </row>
    <row r="21" spans="1:48" ht="11.85" customHeight="1" thickTop="1">
      <c r="A21" s="545"/>
      <c r="B21" s="47" t="s">
        <v>241</v>
      </c>
      <c r="C21" s="48"/>
      <c r="D21" s="49"/>
      <c r="E21" s="695">
        <f>VLOOKUP("Conflict Ped 1",Data!$A$1200:$I$1226,5,FALSE)</f>
        <v>0</v>
      </c>
      <c r="F21" s="696">
        <f>VLOOKUP("Conflict Ped 2",Data!$A$1200:$I$1226,5,FALSE)</f>
        <v>0</v>
      </c>
      <c r="G21" s="696">
        <f>VLOOKUP("Conflict Ped 3",Data!$A$1200:$I$1226,5,FALSE)</f>
        <v>0</v>
      </c>
      <c r="H21" s="696">
        <f>VLOOKUP("Conflict Ped 4",Data!$A$1200:$I$1226,5,FALSE)</f>
        <v>0</v>
      </c>
      <c r="I21" s="696">
        <f>VLOOKUP("Conflict Ped 5",Data!$A$1200:$I$1226,5,FALSE)</f>
        <v>0</v>
      </c>
      <c r="J21" s="696">
        <f>VLOOKUP("Conflict Ped 6",Data!$A$1200:$I$1226,5,FALSE)</f>
        <v>0</v>
      </c>
      <c r="K21" s="696">
        <f>VLOOKUP("Conflict Ped 7",Data!$A$1200:$I$1226,5,FALSE)</f>
        <v>0</v>
      </c>
      <c r="L21" s="919">
        <f>VLOOKUP("Conflict Ped 8",Data!$A$1200:$I$1226,5,FALSE)</f>
        <v>0</v>
      </c>
      <c r="M21" s="2174"/>
      <c r="N21" s="2175"/>
      <c r="O21" s="535"/>
      <c r="P21" s="319">
        <v>1</v>
      </c>
      <c r="Q21" s="721" t="str">
        <f>VLOOKUP("Lock Input",Data!$A$1697:$AU$1697,2,FALSE)</f>
        <v>OFF</v>
      </c>
      <c r="R21" s="2195"/>
      <c r="S21" s="721" t="str">
        <f>VLOOKUP("Override Auto Flash",Data!$A$1703:$AU$1703,2,FALSE)</f>
        <v>OFF</v>
      </c>
      <c r="T21" s="2195"/>
      <c r="U21" s="721" t="str">
        <f>VLOOKUP("Override Higher Preempt",Data!$A$1704:$G$1704,2,FALSE)</f>
        <v>OFF</v>
      </c>
      <c r="V21" s="2195"/>
      <c r="W21" s="728" t="str">
        <f>VLOOKUP("Flash in Dwell",Data!$A$1695:$G$1695,2,FALSE)</f>
        <v>ON</v>
      </c>
      <c r="X21" s="729">
        <f>VLOOKUP("Link to Preempt",Data!$A$1696:$G$1696,2,FALSE)</f>
        <v>0</v>
      </c>
      <c r="Y21" s="156"/>
      <c r="Z21" s="63">
        <v>5</v>
      </c>
      <c r="AA21" s="777">
        <f>VLOOKUP("Track Veh 1",Data!$A:$G,6,FALSE)</f>
        <v>0</v>
      </c>
      <c r="AB21" s="778">
        <f>VLOOKUP("Track Veh 2",Data!$A:$G,6,FALSE)</f>
        <v>0</v>
      </c>
      <c r="AC21" s="778">
        <f>VLOOKUP("Track Veh 3",Data!$A:$G,6,FALSE)</f>
        <v>0</v>
      </c>
      <c r="AD21" s="779">
        <f>VLOOKUP("Track Veh 4",Data!$A:$G,6,FALSE)</f>
        <v>0</v>
      </c>
      <c r="AE21" s="156"/>
      <c r="AF21" s="55">
        <v>5</v>
      </c>
      <c r="AG21" s="777">
        <f>VLOOKUP("Exit 1",Data!$A:$G,6,FALSE)</f>
        <v>2</v>
      </c>
      <c r="AH21" s="778">
        <f>VLOOKUP("Exit 2",Data!$A:$G,6,FALSE)</f>
        <v>6</v>
      </c>
      <c r="AI21" s="778">
        <f>VLOOKUP("Exit 3",Data!$A:$G,6,FALSE)</f>
        <v>0</v>
      </c>
      <c r="AJ21" s="779">
        <f>VLOOKUP("Exit 4",Data!$A:$G,6,FALSE)</f>
        <v>0</v>
      </c>
      <c r="AK21" s="156"/>
      <c r="AL21" s="212"/>
      <c r="AO21" s="119"/>
      <c r="AP21" s="45"/>
      <c r="AQ21" s="45"/>
      <c r="AR21" s="45"/>
      <c r="AT21" s="45"/>
      <c r="AU21" s="45"/>
      <c r="AV21" s="45"/>
    </row>
    <row r="22" spans="1:48" ht="11.85" customHeight="1">
      <c r="A22" s="542"/>
      <c r="B22" s="56" t="s">
        <v>230</v>
      </c>
      <c r="C22" s="53"/>
      <c r="D22" s="54"/>
      <c r="E22" s="686">
        <f>VLOOKUP("Included P1",Data!$A$1177:$I$1226,6,FALSE)</f>
        <v>0</v>
      </c>
      <c r="F22" s="687">
        <f>VLOOKUP("Included P2",Data!$A$1177:$I$1226,6,FALSE)</f>
        <v>0</v>
      </c>
      <c r="G22" s="687">
        <f>VLOOKUP("Included P3",Data!$A$1177:$I$1226,6,FALSE)</f>
        <v>0</v>
      </c>
      <c r="H22" s="687">
        <f>VLOOKUP("Included P4",Data!$A$1177:$I$1226,6,FALSE)</f>
        <v>0</v>
      </c>
      <c r="I22" s="687">
        <f>VLOOKUP("Included P5",Data!$A$1177:$I$1226,6,FALSE)</f>
        <v>0</v>
      </c>
      <c r="J22" s="687">
        <f>VLOOKUP("Included P6",Data!$A$1177:$I$1226,6,FALSE)</f>
        <v>0</v>
      </c>
      <c r="K22" s="687">
        <f>VLOOKUP("Included P7",Data!$A$1177:$I$1226,6,FALSE)</f>
        <v>0</v>
      </c>
      <c r="L22" s="688">
        <f>VLOOKUP("Included P8",Data!$A$1177:$I$1226,6,FALSE)</f>
        <v>0</v>
      </c>
      <c r="M22" s="2186" t="str">
        <f>VLOOKUP("Type",Data!$A$1197:$I$1197,6,FALSE)</f>
        <v>NORMAL</v>
      </c>
      <c r="N22" s="2187"/>
      <c r="O22" s="535"/>
      <c r="P22" s="320">
        <v>2</v>
      </c>
      <c r="Q22" s="722" t="str">
        <f>VLOOKUP("Lock Input",Data!$A$1697:$AU$1697,3,FALSE)</f>
        <v>OFF</v>
      </c>
      <c r="R22" s="2195"/>
      <c r="S22" s="722" t="str">
        <f>VLOOKUP("Override Auto Flash",Data!$A$1703:$AU$1703,3,FALSE)</f>
        <v>OFF</v>
      </c>
      <c r="T22" s="2195"/>
      <c r="U22" s="722" t="str">
        <f>VLOOKUP("Override Higher Preempt",Data!$A$1704:$G$1704,3,FALSE)</f>
        <v>OFF</v>
      </c>
      <c r="V22" s="2195"/>
      <c r="W22" s="730" t="str">
        <f>VLOOKUP("Flash in Dwell",Data!$A$1695:$G$1695,3,FALSE)</f>
        <v>OFF</v>
      </c>
      <c r="X22" s="731">
        <f>VLOOKUP("Link to Preempt",Data!$A$1696:$G$1696,3,FALSE)</f>
        <v>0</v>
      </c>
      <c r="Y22" s="156"/>
      <c r="Z22" s="63">
        <v>6</v>
      </c>
      <c r="AA22" s="777">
        <f>VLOOKUP("Track Veh 1",Data!$A:$G,7,FALSE)</f>
        <v>0</v>
      </c>
      <c r="AB22" s="778">
        <f>VLOOKUP("Track Veh 2",Data!$A:$G,7,FALSE)</f>
        <v>0</v>
      </c>
      <c r="AC22" s="778">
        <f>VLOOKUP("Track Veh 3",Data!$A:$G,7,FALSE)</f>
        <v>0</v>
      </c>
      <c r="AD22" s="779">
        <f>VLOOKUP("Track Veh 4",Data!$A:$G,7,FALSE)</f>
        <v>0</v>
      </c>
      <c r="AE22" s="156"/>
      <c r="AF22" s="55">
        <v>6</v>
      </c>
      <c r="AG22" s="777">
        <f>VLOOKUP("Exit 1",Data!$A:$G,7,FALSE)</f>
        <v>4</v>
      </c>
      <c r="AH22" s="778">
        <f>VLOOKUP("Exit 2",Data!$A:$G,7,FALSE)</f>
        <v>8</v>
      </c>
      <c r="AI22" s="778">
        <f>VLOOKUP("Exit 3",Data!$A:$G,7,FALSE)</f>
        <v>0</v>
      </c>
      <c r="AJ22" s="779">
        <f>VLOOKUP("Exit 4",Data!$A:$G,7,FALSE)</f>
        <v>0</v>
      </c>
      <c r="AK22" s="156"/>
      <c r="AL22" s="212"/>
      <c r="AO22" s="119"/>
      <c r="AP22" s="45"/>
      <c r="AQ22" s="45"/>
      <c r="AR22" s="45"/>
      <c r="AS22" s="45"/>
      <c r="AT22" s="45"/>
      <c r="AU22" s="45"/>
      <c r="AV22" s="45"/>
    </row>
    <row r="23" spans="1:48" ht="11.85" customHeight="1">
      <c r="A23" s="543">
        <v>5</v>
      </c>
      <c r="B23" s="47" t="s">
        <v>236</v>
      </c>
      <c r="C23" s="48"/>
      <c r="D23" s="49"/>
      <c r="E23" s="689">
        <f>VLOOKUP("Modify P1",Data!$A$1177:$I$1226,6,FALSE)</f>
        <v>0</v>
      </c>
      <c r="F23" s="690">
        <f>VLOOKUP("Modify P2",Data!$A$1177:$I$1226,6,FALSE)</f>
        <v>0</v>
      </c>
      <c r="G23" s="690">
        <f>VLOOKUP("Modify P3",Data!$A$1177:$I$1226,6,FALSE)</f>
        <v>0</v>
      </c>
      <c r="H23" s="690">
        <f>VLOOKUP("Modify P4",Data!$A$1177:$I$1226,6,FALSE)</f>
        <v>0</v>
      </c>
      <c r="I23" s="690">
        <f>VLOOKUP("Modify P5",Data!$A$1177:$I$1226,6,FALSE)</f>
        <v>0</v>
      </c>
      <c r="J23" s="690">
        <f>VLOOKUP("Modify P6",Data!$A$1177:$I$1226,6,FALSE)</f>
        <v>0</v>
      </c>
      <c r="K23" s="690">
        <f>VLOOKUP("Modify P7",Data!$A$1177:$I$1226,6,FALSE)</f>
        <v>0</v>
      </c>
      <c r="L23" s="691">
        <f>VLOOKUP("Modify P8",Data!$A$1177:$I$1226,6,FALSE)</f>
        <v>0</v>
      </c>
      <c r="M23" s="51" t="s">
        <v>50</v>
      </c>
      <c r="N23" s="918">
        <f>VLOOKUP("Green",Data!$A$1179:$I$1179,6,FALSE)</f>
        <v>0</v>
      </c>
      <c r="O23" s="535"/>
      <c r="P23" s="320">
        <v>3</v>
      </c>
      <c r="Q23" s="723" t="str">
        <f>VLOOKUP("Lock Input",Data!$A$1697:$AU$1697,4,FALSE)</f>
        <v>OFF</v>
      </c>
      <c r="R23" s="2195"/>
      <c r="S23" s="723" t="str">
        <f>VLOOKUP("Override Auto Flash",Data!$A$1703:$AU$1703,4,FALSE)</f>
        <v>OFF</v>
      </c>
      <c r="T23" s="2195"/>
      <c r="U23" s="723" t="str">
        <f>VLOOKUP("Override Higher Preempt",Data!$A$1704:$G$1704,4,FALSE)</f>
        <v>OFF</v>
      </c>
      <c r="V23" s="2195"/>
      <c r="W23" s="732" t="str">
        <f>VLOOKUP("Flash in Dwell",Data!$A$1695:$G$1695,4,FALSE)</f>
        <v>OFF</v>
      </c>
      <c r="X23" s="733">
        <f>VLOOKUP("Link to Preempt",Data!$A$1696:$G$1696,4,FALSE)</f>
        <v>0</v>
      </c>
      <c r="Y23" s="156"/>
      <c r="Z23" s="456" t="s">
        <v>1062</v>
      </c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5"/>
      <c r="AO23" s="119"/>
      <c r="AP23" s="45"/>
      <c r="AQ23" s="45"/>
      <c r="AR23" s="45"/>
      <c r="AS23" s="45"/>
      <c r="AT23" s="45"/>
      <c r="AU23" s="45"/>
      <c r="AV23" s="45"/>
    </row>
    <row r="24" spans="1:48" ht="11.85" customHeight="1" thickBot="1">
      <c r="A24" s="543"/>
      <c r="B24" s="47" t="s">
        <v>237</v>
      </c>
      <c r="C24" s="48"/>
      <c r="D24" s="49"/>
      <c r="E24" s="692">
        <f>VLOOKUP("Conflict P1",Data!$A$1200:$I$1226,6,FALSE)</f>
        <v>0</v>
      </c>
      <c r="F24" s="693">
        <f>VLOOKUP("Conflict P2",Data!$A$1200:$I$1226,6,FALSE)</f>
        <v>0</v>
      </c>
      <c r="G24" s="693">
        <f>VLOOKUP("Conflict P3",Data!$A$1200:$I$1226,6,FALSE)</f>
        <v>0</v>
      </c>
      <c r="H24" s="693">
        <f>VLOOKUP("Conflict P4",Data!$A$1200:$I$1226,6,FALSE)</f>
        <v>0</v>
      </c>
      <c r="I24" s="693">
        <f>VLOOKUP("Conflict P5",Data!$A$1200:$I$1226,6,FALSE)</f>
        <v>0</v>
      </c>
      <c r="J24" s="693">
        <f>VLOOKUP("Conflict P6",Data!$A$1200:$I$1226,6,FALSE)</f>
        <v>0</v>
      </c>
      <c r="K24" s="693">
        <f>VLOOKUP("Conflict P7",Data!$A$1200:$I$1226,6,FALSE)</f>
        <v>0</v>
      </c>
      <c r="L24" s="694">
        <f>VLOOKUP("Conflict P8",Data!$A$1200:$I$1226,6,FALSE)</f>
        <v>0</v>
      </c>
      <c r="M24" s="51" t="s">
        <v>51</v>
      </c>
      <c r="N24" s="918">
        <f>VLOOKUP("Yellow",Data!$A$1198:$I$1198,6,FALSE)</f>
        <v>3</v>
      </c>
      <c r="O24" s="535"/>
      <c r="P24" s="320">
        <v>4</v>
      </c>
      <c r="Q24" s="722" t="str">
        <f>VLOOKUP("Lock Input",Data!$A$1697:$AU$1697,5,FALSE)</f>
        <v>OFF</v>
      </c>
      <c r="R24" s="2195"/>
      <c r="S24" s="722" t="str">
        <f>VLOOKUP("Override Auto Flash",Data!$A$1703:$AU$1703,5,FALSE)</f>
        <v>OFF</v>
      </c>
      <c r="T24" s="2195"/>
      <c r="U24" s="726" t="str">
        <f>VLOOKUP("Override Higher Preempt",Data!$A$1704:$G$1704,5,FALSE)</f>
        <v>OFF</v>
      </c>
      <c r="V24" s="2195"/>
      <c r="W24" s="730" t="str">
        <f>VLOOKUP("Flash in Dwell",Data!$A$1695:$G$1695,5,FALSE)</f>
        <v>OFF</v>
      </c>
      <c r="X24" s="731">
        <f>VLOOKUP("Link to Preempt",Data!$A$1696:$G$1696,5,FALSE)</f>
        <v>0</v>
      </c>
      <c r="Y24" s="156"/>
      <c r="Z24" s="311" t="s">
        <v>231</v>
      </c>
      <c r="AA24" s="58"/>
      <c r="AB24" s="58"/>
      <c r="AC24" s="59" t="s">
        <v>252</v>
      </c>
      <c r="AD24" s="60"/>
      <c r="AE24" s="60"/>
      <c r="AF24" s="60"/>
      <c r="AG24" s="60"/>
      <c r="AH24" s="60"/>
      <c r="AI24" s="60"/>
      <c r="AJ24" s="60"/>
      <c r="AK24" s="60"/>
      <c r="AL24" s="61"/>
      <c r="AO24" s="119"/>
      <c r="AP24" s="45"/>
      <c r="AQ24" s="45"/>
      <c r="AR24" s="45"/>
      <c r="AS24" s="45"/>
      <c r="AT24" s="45"/>
      <c r="AU24" s="45"/>
      <c r="AV24" s="45"/>
    </row>
    <row r="25" spans="1:48" ht="11.85" customHeight="1" thickTop="1">
      <c r="A25" s="543" t="s">
        <v>253</v>
      </c>
      <c r="B25" s="47" t="s">
        <v>240</v>
      </c>
      <c r="C25" s="48"/>
      <c r="D25" s="49"/>
      <c r="E25" s="692">
        <f>VLOOKUP("Conflict O1",Data!$A$1200:$I$1226,6,FALSE)</f>
        <v>0</v>
      </c>
      <c r="F25" s="693">
        <f>VLOOKUP("Conflict O2",Data!$A$1200:$I$1226,6,FALSE)</f>
        <v>0</v>
      </c>
      <c r="G25" s="693">
        <f>VLOOKUP("Conflict O3",Data!$A$1200:$I$1226,6,FALSE)</f>
        <v>0</v>
      </c>
      <c r="H25" s="693">
        <f>VLOOKUP("Conflict O4",Data!$A$1200:$I$1226,6,FALSE)</f>
        <v>0</v>
      </c>
      <c r="I25" s="693">
        <f>VLOOKUP("Conflict O5",Data!$A$1200:$I$1226,6,FALSE)</f>
        <v>0</v>
      </c>
      <c r="J25" s="693">
        <f>VLOOKUP("Conflict O6",Data!$A$1200:$I$1226,6,FALSE)</f>
        <v>0</v>
      </c>
      <c r="K25" s="693">
        <f>VLOOKUP("Conflict O7",Data!$A$1200:$I$1226,6,FALSE)</f>
        <v>0</v>
      </c>
      <c r="L25" s="694">
        <f>VLOOKUP("Conflict O8",Data!$A$1200:$I$1226,6,FALSE)</f>
        <v>0</v>
      </c>
      <c r="M25" s="51" t="s">
        <v>52</v>
      </c>
      <c r="N25" s="918">
        <f>VLOOKUP("Red",Data!$A$1196:$I$1196,6,FALSE)</f>
        <v>1</v>
      </c>
      <c r="O25" s="535"/>
      <c r="P25" s="320">
        <v>5</v>
      </c>
      <c r="Q25" s="725" t="str">
        <f>VLOOKUP("Lock Input",Data!$A$1697:$AU$1697,6,FALSE)</f>
        <v>OFF</v>
      </c>
      <c r="R25" s="2195"/>
      <c r="S25" s="725" t="str">
        <f>VLOOKUP("Override Auto Flash",Data!$A$1703:$AU$1703,6,FALSE)</f>
        <v>OFF</v>
      </c>
      <c r="T25" s="2195"/>
      <c r="U25" s="727" t="str">
        <f>VLOOKUP("Override Higher Preempt",Data!$A$1704:$G$1704,6,FALSE)</f>
        <v>OFF</v>
      </c>
      <c r="V25" s="2195"/>
      <c r="W25" s="736" t="str">
        <f>VLOOKUP("Flash in Dwell",Data!$A$1695:$G$1695,6,FALSE)</f>
        <v>OFF</v>
      </c>
      <c r="X25" s="737">
        <f>VLOOKUP("Link to Preempt",Data!$A$1696:$G$1696,6,FALSE)</f>
        <v>0</v>
      </c>
      <c r="Y25" s="156"/>
      <c r="Z25" s="2240">
        <v>1</v>
      </c>
      <c r="AA25" s="62" t="s">
        <v>254</v>
      </c>
      <c r="AB25" s="62"/>
      <c r="AC25" s="780">
        <f>VLOOKUP("Track Over 1",Data!$A:$G,2,FALSE)</f>
        <v>0</v>
      </c>
      <c r="AD25" s="781">
        <f>VLOOKUP("Track Over 2",Data!$A:$G,2,FALSE)</f>
        <v>0</v>
      </c>
      <c r="AE25" s="781">
        <f>VLOOKUP("Track Over 3",Data!$A:$G,2,FALSE)</f>
        <v>0</v>
      </c>
      <c r="AF25" s="781">
        <f>VLOOKUP("Track Over 4",Data!$A:$G,2,FALSE)</f>
        <v>0</v>
      </c>
      <c r="AG25" s="781">
        <f>VLOOKUP("Track Over 5",Data!$A:$G,2,FALSE)</f>
        <v>0</v>
      </c>
      <c r="AH25" s="781">
        <f>VLOOKUP("Track Over 6",Data!$A:$G,2,FALSE)</f>
        <v>0</v>
      </c>
      <c r="AI25" s="781">
        <f>VLOOKUP("Track Over 7",Data!$A:$G,2,FALSE)</f>
        <v>0</v>
      </c>
      <c r="AJ25" s="781">
        <f>VLOOKUP("Track Over 8",Data!$A:$G,2,FALSE)</f>
        <v>0</v>
      </c>
      <c r="AK25" s="781">
        <f>VLOOKUP("Track Over 9",Data!$A:$G,2,FALSE)</f>
        <v>0</v>
      </c>
      <c r="AL25" s="782">
        <f>VLOOKUP("Track Over 10",Data!$A:$G,2,FALSE)</f>
        <v>0</v>
      </c>
      <c r="AO25" s="119"/>
      <c r="AP25" s="45"/>
      <c r="AQ25" s="45"/>
      <c r="AR25" s="45"/>
      <c r="AS25" s="45"/>
      <c r="AT25" s="45"/>
      <c r="AU25" s="45"/>
      <c r="AV25" s="45"/>
    </row>
    <row r="26" spans="1:48" ht="11.85" customHeight="1" thickBot="1">
      <c r="A26" s="543"/>
      <c r="B26" s="52" t="s">
        <v>241</v>
      </c>
      <c r="C26" s="57"/>
      <c r="D26" s="49"/>
      <c r="E26" s="695">
        <f>VLOOKUP("Conflict Ped 1",Data!$A$1200:$I$1226,6,FALSE)</f>
        <v>0</v>
      </c>
      <c r="F26" s="696">
        <f>VLOOKUP("Conflict Ped 2",Data!$A$1200:$I$1226,6,FALSE)</f>
        <v>0</v>
      </c>
      <c r="G26" s="696">
        <f>VLOOKUP("Conflict Ped 3",Data!$A$1200:$I$1226,6,FALSE)</f>
        <v>0</v>
      </c>
      <c r="H26" s="696">
        <f>VLOOKUP("Conflict Ped 4",Data!$A$1200:$I$1226,6,FALSE)</f>
        <v>0</v>
      </c>
      <c r="I26" s="696">
        <f>VLOOKUP("Conflict Ped 5",Data!$A$1200:$I$1226,6,FALSE)</f>
        <v>0</v>
      </c>
      <c r="J26" s="696">
        <f>VLOOKUP("Conflict Ped 6",Data!$A$1200:$I$1226,6,FALSE)</f>
        <v>0</v>
      </c>
      <c r="K26" s="696">
        <f>VLOOKUP("Conflict Ped 7",Data!$A$1200:$I$1226,6,FALSE)</f>
        <v>0</v>
      </c>
      <c r="L26" s="919">
        <f>VLOOKUP("Conflict Ped 8",Data!$A$1200:$I$1226,6,FALSE)</f>
        <v>0</v>
      </c>
      <c r="M26" s="2174"/>
      <c r="N26" s="2175"/>
      <c r="O26" s="535"/>
      <c r="P26" s="321">
        <v>6</v>
      </c>
      <c r="Q26" s="724" t="str">
        <f>VLOOKUP("Lock Input",Data!$A$1697:$AU$1697,7,FALSE)</f>
        <v>OFF</v>
      </c>
      <c r="R26" s="2196"/>
      <c r="S26" s="724" t="str">
        <f>VLOOKUP("Override Auto Flash",Data!$A$1703:$AU$1703,7,FALSE)</f>
        <v>OFF</v>
      </c>
      <c r="T26" s="2196"/>
      <c r="U26" s="724" t="str">
        <f>VLOOKUP("Override Higher Preempt",Data!$A$1704:$G$1704,7,FALSE)</f>
        <v>OFF</v>
      </c>
      <c r="V26" s="2196"/>
      <c r="W26" s="734" t="str">
        <f>VLOOKUP("Flash in Dwell",Data!$A$1695:$G$1695,7,FALSE)</f>
        <v>OFF</v>
      </c>
      <c r="X26" s="735">
        <f>VLOOKUP("Link to Preempt",Data!$A$1696:$G$1696,7,FALSE)</f>
        <v>0</v>
      </c>
      <c r="Y26" s="156"/>
      <c r="Z26" s="2241"/>
      <c r="AA26" s="2250" t="s">
        <v>14</v>
      </c>
      <c r="AB26" s="2251"/>
      <c r="AC26" s="786">
        <f>VLOOKUP("DwellCyc Over 1",Data!$A:$G,2,FALSE)</f>
        <v>0</v>
      </c>
      <c r="AD26" s="787">
        <f>VLOOKUP("DwellCyc Over 2",Data!$A:$G,2,FALSE)</f>
        <v>0</v>
      </c>
      <c r="AE26" s="787">
        <f>VLOOKUP("DwellCyc Over 3",Data!$A:$G,2,FALSE)</f>
        <v>0</v>
      </c>
      <c r="AF26" s="787">
        <f>VLOOKUP("DwellCyc Over 4",Data!$A:$G,2,FALSE)</f>
        <v>0</v>
      </c>
      <c r="AG26" s="787">
        <f>VLOOKUP("DwellCyc Over 5",Data!$A:$G,2,FALSE)</f>
        <v>0</v>
      </c>
      <c r="AH26" s="787">
        <f>VLOOKUP("DwellCyc Over 6",Data!$A:$G,2,FALSE)</f>
        <v>0</v>
      </c>
      <c r="AI26" s="787">
        <f>VLOOKUP("DwellCyc Over 7",Data!$A:$G,2,FALSE)</f>
        <v>0</v>
      </c>
      <c r="AJ26" s="787">
        <f>VLOOKUP("DwellCyc Over 8",Data!$A:$G,2,FALSE)</f>
        <v>0</v>
      </c>
      <c r="AK26" s="787">
        <f>VLOOKUP("DwellCyc Over 9",Data!$A:$G,2,FALSE)</f>
        <v>0</v>
      </c>
      <c r="AL26" s="788">
        <f>VLOOKUP("DwellCyc Over 10",Data!$A:$G,2,FALSE)</f>
        <v>0</v>
      </c>
      <c r="AO26" s="119"/>
      <c r="AP26" s="45"/>
      <c r="AQ26" s="45"/>
      <c r="AR26" s="45"/>
      <c r="AS26" s="45"/>
      <c r="AT26" s="45"/>
      <c r="AU26" s="45"/>
      <c r="AV26" s="45"/>
    </row>
    <row r="27" spans="1:48" ht="11.85" customHeight="1">
      <c r="A27" s="544"/>
      <c r="B27" s="47" t="s">
        <v>230</v>
      </c>
      <c r="C27" s="48"/>
      <c r="D27" s="49"/>
      <c r="E27" s="686">
        <f>VLOOKUP("Included P1",Data!$A$1177:$I$1226,7,FALSE)</f>
        <v>0</v>
      </c>
      <c r="F27" s="687">
        <f>VLOOKUP("Included P2",Data!$A$1177:$I$1226,7,FALSE)</f>
        <v>0</v>
      </c>
      <c r="G27" s="687">
        <f>VLOOKUP("Included P3",Data!$A$1177:$I$1226,7,FALSE)</f>
        <v>0</v>
      </c>
      <c r="H27" s="687">
        <f>VLOOKUP("Included P4",Data!$A$1177:$I$1226,7,FALSE)</f>
        <v>0</v>
      </c>
      <c r="I27" s="687">
        <f>VLOOKUP("Included P5",Data!$A$1177:$I$1226,7,FALSE)</f>
        <v>0</v>
      </c>
      <c r="J27" s="687">
        <f>VLOOKUP("Included P6",Data!$A$1177:$I$1226,7,FALSE)</f>
        <v>0</v>
      </c>
      <c r="K27" s="687">
        <f>VLOOKUP("Included P7",Data!$A$1177:$I$1226,7,FALSE)</f>
        <v>0</v>
      </c>
      <c r="L27" s="688">
        <f>VLOOKUP("Included P8",Data!$A$1177:$I$1226,7,FALSE)</f>
        <v>0</v>
      </c>
      <c r="M27" s="2186" t="str">
        <f>VLOOKUP("Type",Data!$A$1197:$I$1197,7,FALSE)</f>
        <v>NORMAL</v>
      </c>
      <c r="N27" s="2187"/>
      <c r="O27" s="535"/>
      <c r="P27" s="322" t="s">
        <v>1058</v>
      </c>
      <c r="Q27" s="323"/>
      <c r="R27" s="323"/>
      <c r="S27" s="323"/>
      <c r="T27" s="323"/>
      <c r="U27" s="324"/>
      <c r="V27" s="2225"/>
      <c r="W27" s="2226"/>
      <c r="X27" s="2226"/>
      <c r="Y27" s="156"/>
      <c r="Z27" s="2190">
        <v>2</v>
      </c>
      <c r="AA27" s="62" t="s">
        <v>254</v>
      </c>
      <c r="AB27" s="62"/>
      <c r="AC27" s="783">
        <f>VLOOKUP("Track Over 1",Data!$A:$G,3,FALSE)</f>
        <v>0</v>
      </c>
      <c r="AD27" s="784">
        <f>VLOOKUP("Track Over 2",Data!$A:$G,3,FALSE)</f>
        <v>0</v>
      </c>
      <c r="AE27" s="784">
        <f>VLOOKUP("Track Over 3",Data!$A:$G,3,FALSE)</f>
        <v>0</v>
      </c>
      <c r="AF27" s="784">
        <f>VLOOKUP("Track Over 4",Data!$A:$G,3,FALSE)</f>
        <v>0</v>
      </c>
      <c r="AG27" s="784">
        <f>VLOOKUP("Track Over 5",Data!$A:$G,3,FALSE)</f>
        <v>0</v>
      </c>
      <c r="AH27" s="784">
        <f>VLOOKUP("Track Over 6",Data!$A:$G,3,FALSE)</f>
        <v>0</v>
      </c>
      <c r="AI27" s="784">
        <f>VLOOKUP("Track Over 7",Data!$A:$G,3,FALSE)</f>
        <v>0</v>
      </c>
      <c r="AJ27" s="784">
        <f>VLOOKUP("Track Over 8",Data!$A:$G,3,FALSE)</f>
        <v>0</v>
      </c>
      <c r="AK27" s="784">
        <f>VLOOKUP("Track Over 9",Data!$A:$G,3,FALSE)</f>
        <v>0</v>
      </c>
      <c r="AL27" s="785">
        <f>VLOOKUP("Track Over 10",Data!$A:$G,3,FALSE)</f>
        <v>0</v>
      </c>
      <c r="AO27" s="119"/>
      <c r="AP27" s="45"/>
      <c r="AQ27" s="45"/>
      <c r="AR27" s="45"/>
      <c r="AS27" s="45"/>
      <c r="AT27" s="45"/>
      <c r="AU27" s="45"/>
      <c r="AV27" s="45"/>
    </row>
    <row r="28" spans="1:48" ht="11.85" customHeight="1">
      <c r="A28" s="543">
        <v>6</v>
      </c>
      <c r="B28" s="47" t="s">
        <v>236</v>
      </c>
      <c r="C28" s="48"/>
      <c r="D28" s="49"/>
      <c r="E28" s="689">
        <f>VLOOKUP("Modify P1",Data!$A$1177:$I$1226,7,FALSE)</f>
        <v>0</v>
      </c>
      <c r="F28" s="690">
        <f>VLOOKUP("Modify P2",Data!$A$1177:$I$1226,7,FALSE)</f>
        <v>0</v>
      </c>
      <c r="G28" s="690">
        <f>VLOOKUP("Modify P3",Data!$A$1177:$I$1226,7,FALSE)</f>
        <v>0</v>
      </c>
      <c r="H28" s="690">
        <f>VLOOKUP("Modify P4",Data!$A$1177:$I$1226,7,FALSE)</f>
        <v>0</v>
      </c>
      <c r="I28" s="690">
        <f>VLOOKUP("Modify P5",Data!$A$1177:$I$1226,7,FALSE)</f>
        <v>0</v>
      </c>
      <c r="J28" s="690">
        <f>VLOOKUP("Modify P6",Data!$A$1177:$I$1226,7,FALSE)</f>
        <v>0</v>
      </c>
      <c r="K28" s="690">
        <f>VLOOKUP("Modify P7",Data!$A$1177:$I$1226,7,FALSE)</f>
        <v>0</v>
      </c>
      <c r="L28" s="691">
        <f>VLOOKUP("Modify P8",Data!$A$1177:$I$1226,7,FALSE)</f>
        <v>0</v>
      </c>
      <c r="M28" s="51" t="s">
        <v>50</v>
      </c>
      <c r="N28" s="918">
        <f>VLOOKUP("Green",Data!$A$1179:$I$1179,7,FALSE)</f>
        <v>0</v>
      </c>
      <c r="O28" s="535"/>
      <c r="P28" s="2218" t="s">
        <v>255</v>
      </c>
      <c r="Q28" s="2220" t="s">
        <v>767</v>
      </c>
      <c r="R28" s="2202" t="s">
        <v>256</v>
      </c>
      <c r="S28" s="2222" t="s">
        <v>43</v>
      </c>
      <c r="T28" s="2222" t="s">
        <v>51</v>
      </c>
      <c r="U28" s="2216" t="s">
        <v>52</v>
      </c>
      <c r="V28" s="1662"/>
      <c r="W28" s="1663"/>
      <c r="X28" s="1663"/>
      <c r="Y28" s="156"/>
      <c r="Z28" s="2191"/>
      <c r="AA28" s="2250" t="s">
        <v>14</v>
      </c>
      <c r="AB28" s="2251"/>
      <c r="AC28" s="789">
        <f>VLOOKUP("DwellCyc Over 1",Data!$A:$G,3,FALSE)</f>
        <v>0</v>
      </c>
      <c r="AD28" s="790">
        <f>VLOOKUP("DwellCyc Over 2",Data!$A:$G,3,FALSE)</f>
        <v>0</v>
      </c>
      <c r="AE28" s="790">
        <f>VLOOKUP("DwellCyc Over 3",Data!$A:$G,3,FALSE)</f>
        <v>0</v>
      </c>
      <c r="AF28" s="790">
        <f>VLOOKUP("DwellCyc Over 4",Data!$A:$G,3,FALSE)</f>
        <v>0</v>
      </c>
      <c r="AG28" s="790">
        <f>VLOOKUP("DwellCyc Over 5",Data!$A:$G,3,FALSE)</f>
        <v>0</v>
      </c>
      <c r="AH28" s="790">
        <f>VLOOKUP("DwellCyc Over 6",Data!$A:$G,3,FALSE)</f>
        <v>0</v>
      </c>
      <c r="AI28" s="790">
        <f>VLOOKUP("DwellCyc Over 7",Data!$A:$G,3,FALSE)</f>
        <v>0</v>
      </c>
      <c r="AJ28" s="790">
        <f>VLOOKUP("DwellCyc Over 8",Data!$A:$G,3,FALSE)</f>
        <v>0</v>
      </c>
      <c r="AK28" s="790">
        <f>VLOOKUP("DwellCyc Over 9",Data!$A:$G,3,FALSE)</f>
        <v>0</v>
      </c>
      <c r="AL28" s="791">
        <f>VLOOKUP("DwellCyc Over 10",Data!$A:$G,3,FALSE)</f>
        <v>0</v>
      </c>
      <c r="AO28" s="119"/>
      <c r="AP28" s="45"/>
      <c r="AQ28" s="45"/>
      <c r="AR28" s="45"/>
      <c r="AS28" s="45"/>
      <c r="AT28" s="45"/>
      <c r="AU28" s="45"/>
      <c r="AV28" s="45"/>
    </row>
    <row r="29" spans="1:48" ht="11.85" customHeight="1" thickBot="1">
      <c r="A29" s="543"/>
      <c r="B29" s="47" t="s">
        <v>237</v>
      </c>
      <c r="C29" s="48"/>
      <c r="D29" s="49"/>
      <c r="E29" s="692">
        <f>VLOOKUP("Conflict P1",Data!$A$1200:$I$1226,7,FALSE)</f>
        <v>0</v>
      </c>
      <c r="F29" s="693">
        <f>VLOOKUP("Conflict P2",Data!$A$1200:$I$1226,7,FALSE)</f>
        <v>0</v>
      </c>
      <c r="G29" s="693">
        <f>VLOOKUP("Conflict P3",Data!$A$1200:$I$1226,7,FALSE)</f>
        <v>0</v>
      </c>
      <c r="H29" s="693">
        <f>VLOOKUP("Conflict P4",Data!$A$1200:$I$1226,7,FALSE)</f>
        <v>0</v>
      </c>
      <c r="I29" s="693">
        <f>VLOOKUP("Conflict P5",Data!$A$1200:$I$1226,7,FALSE)</f>
        <v>0</v>
      </c>
      <c r="J29" s="693">
        <f>VLOOKUP("Conflict P6",Data!$A$1200:$I$1226,7,FALSE)</f>
        <v>0</v>
      </c>
      <c r="K29" s="693">
        <f>VLOOKUP("Conflict P7",Data!$A$1200:$I$1226,7,FALSE)</f>
        <v>0</v>
      </c>
      <c r="L29" s="694">
        <f>VLOOKUP("Conflict P8",Data!$A$1200:$I$1226,7,FALSE)</f>
        <v>0</v>
      </c>
      <c r="M29" s="51" t="s">
        <v>51</v>
      </c>
      <c r="N29" s="918">
        <f>VLOOKUP("Yellow",Data!$A$1198:$I$1198,7,FALSE)</f>
        <v>3</v>
      </c>
      <c r="O29" s="535"/>
      <c r="P29" s="2219"/>
      <c r="Q29" s="2221"/>
      <c r="R29" s="2203"/>
      <c r="S29" s="2223"/>
      <c r="T29" s="2223"/>
      <c r="U29" s="2224"/>
      <c r="V29" s="1662"/>
      <c r="W29" s="1663"/>
      <c r="X29" s="1663"/>
      <c r="Y29" s="156"/>
      <c r="Z29" s="2190">
        <v>3</v>
      </c>
      <c r="AA29" s="62" t="s">
        <v>254</v>
      </c>
      <c r="AB29" s="62"/>
      <c r="AC29" s="715">
        <f>VLOOKUP("Track Over 1",Data!$A:$G,4,FALSE)</f>
        <v>0</v>
      </c>
      <c r="AD29" s="716">
        <f>VLOOKUP("Track Over 2",Data!$A:$G,4,FALSE)</f>
        <v>0</v>
      </c>
      <c r="AE29" s="716">
        <f>VLOOKUP("Track Over 3",Data!$A:$G,4,FALSE)</f>
        <v>0</v>
      </c>
      <c r="AF29" s="716">
        <f>VLOOKUP("Track Over 4",Data!$A:$G,4,FALSE)</f>
        <v>0</v>
      </c>
      <c r="AG29" s="716">
        <f>VLOOKUP("Track Over 5",Data!$A:$G,4,FALSE)</f>
        <v>0</v>
      </c>
      <c r="AH29" s="716">
        <f>VLOOKUP("Track Over 6",Data!$A:$G,4,FALSE)</f>
        <v>0</v>
      </c>
      <c r="AI29" s="716">
        <f>VLOOKUP("Track Over 7",Data!$A:$G,4,FALSE)</f>
        <v>0</v>
      </c>
      <c r="AJ29" s="716">
        <f>VLOOKUP("Track Over 8",Data!$A:$G,4,FALSE)</f>
        <v>0</v>
      </c>
      <c r="AK29" s="716">
        <f>VLOOKUP("Track Over 9",Data!$A:$G,4,FALSE)</f>
        <v>0</v>
      </c>
      <c r="AL29" s="717">
        <f>VLOOKUP("Track Over 10",Data!$A:$G,4,FALSE)</f>
        <v>0</v>
      </c>
      <c r="AO29" s="119"/>
      <c r="AP29" s="45"/>
      <c r="AQ29" s="45"/>
      <c r="AR29" s="45"/>
      <c r="AS29" s="45"/>
      <c r="AT29" s="45"/>
      <c r="AU29" s="45"/>
      <c r="AV29" s="45"/>
    </row>
    <row r="30" spans="1:48" ht="11.85" customHeight="1" thickTop="1">
      <c r="A30" s="543" t="s">
        <v>257</v>
      </c>
      <c r="B30" s="47" t="s">
        <v>240</v>
      </c>
      <c r="C30" s="48"/>
      <c r="D30" s="49"/>
      <c r="E30" s="692">
        <f>VLOOKUP("Conflict O1",Data!$A$1200:$I$1226,7,FALSE)</f>
        <v>0</v>
      </c>
      <c r="F30" s="693">
        <f>VLOOKUP("Conflict O2",Data!$A$1200:$I$1226,7,FALSE)</f>
        <v>0</v>
      </c>
      <c r="G30" s="693">
        <f>VLOOKUP("Conflict O3",Data!$A$1200:$I$1226,7,FALSE)</f>
        <v>0</v>
      </c>
      <c r="H30" s="693">
        <f>VLOOKUP("Conflict O4",Data!$A$1200:$I$1226,7,FALSE)</f>
        <v>0</v>
      </c>
      <c r="I30" s="693">
        <f>VLOOKUP("Conflict O5",Data!$A$1200:$I$1226,7,FALSE)</f>
        <v>0</v>
      </c>
      <c r="J30" s="693">
        <f>VLOOKUP("Conflict O6",Data!$A$1200:$I$1226,7,FALSE)</f>
        <v>0</v>
      </c>
      <c r="K30" s="693">
        <f>VLOOKUP("Conflict O7",Data!$A$1200:$I$1226,7,FALSE)</f>
        <v>0</v>
      </c>
      <c r="L30" s="694">
        <f>VLOOKUP("Conflict O8",Data!$A$1200:$I$1226,7,FALSE)</f>
        <v>0</v>
      </c>
      <c r="M30" s="51" t="s">
        <v>52</v>
      </c>
      <c r="N30" s="918">
        <f>VLOOKUP("Red",Data!$A$1196:$I$1196,7,FALSE)</f>
        <v>1</v>
      </c>
      <c r="O30" s="535"/>
      <c r="P30" s="315">
        <v>1</v>
      </c>
      <c r="Q30" s="761">
        <f>VLOOKUP("Extend Dwell",Data!$A$1904:$G$1904,2,FALSE)</f>
        <v>0</v>
      </c>
      <c r="R30" s="738">
        <f>VLOOKUP("Return Max",Data!$A$1909:$G$1909,2,FALSE)</f>
        <v>0</v>
      </c>
      <c r="S30" s="739">
        <f>VLOOKUP("Ped Clear",Data!$A$1907:$G$1907,2,FALSE)</f>
        <v>0</v>
      </c>
      <c r="T30" s="753">
        <f>VLOOKUP("Yellow",Data!$A$1926:$G$1926,2,FALSE)</f>
        <v>0</v>
      </c>
      <c r="U30" s="740">
        <f>VLOOKUP("Red",Data!$A$1908:$G$1908,2,FALSE)</f>
        <v>0</v>
      </c>
      <c r="V30" s="1662"/>
      <c r="W30" s="1663"/>
      <c r="X30" s="1663"/>
      <c r="Y30" s="156"/>
      <c r="Z30" s="2191"/>
      <c r="AA30" s="2250" t="s">
        <v>14</v>
      </c>
      <c r="AB30" s="2251"/>
      <c r="AC30" s="718">
        <f>VLOOKUP("DwellCyc Over 1",Data!$A:$G,4,FALSE)</f>
        <v>0</v>
      </c>
      <c r="AD30" s="719">
        <f>VLOOKUP("DwellCyc Over 2",Data!$A:$G,4,FALSE)</f>
        <v>0</v>
      </c>
      <c r="AE30" s="719">
        <f>VLOOKUP("DwellCyc Over 3",Data!$A:$G,4,FALSE)</f>
        <v>0</v>
      </c>
      <c r="AF30" s="719">
        <f>VLOOKUP("DwellCyc Over 4",Data!$A:$G,4,FALSE)</f>
        <v>0</v>
      </c>
      <c r="AG30" s="719">
        <f>VLOOKUP("DwellCyc Over 5",Data!$A:$G,4,FALSE)</f>
        <v>0</v>
      </c>
      <c r="AH30" s="719">
        <f>VLOOKUP("DwellCyc Over 6",Data!$A:$G,4,FALSE)</f>
        <v>0</v>
      </c>
      <c r="AI30" s="719">
        <f>VLOOKUP("DwellCyc Over 7",Data!$A:$G,4,FALSE)</f>
        <v>0</v>
      </c>
      <c r="AJ30" s="719">
        <f>VLOOKUP("DwellCyc Over 8",Data!$A:$G,4,FALSE)</f>
        <v>0</v>
      </c>
      <c r="AK30" s="719">
        <f>VLOOKUP("DwellCyc Over 9",Data!$A:$G,4,FALSE)</f>
        <v>0</v>
      </c>
      <c r="AL30" s="720">
        <f>VLOOKUP("DwellCyc Over 10",Data!$A:$G,4,FALSE)</f>
        <v>0</v>
      </c>
      <c r="AO30" s="119"/>
      <c r="AP30" s="45"/>
      <c r="AQ30" s="45"/>
      <c r="AR30" s="45"/>
      <c r="AS30" s="45"/>
      <c r="AT30" s="45"/>
      <c r="AU30" s="45"/>
      <c r="AV30" s="45"/>
    </row>
    <row r="31" spans="1:48" ht="11.85" customHeight="1">
      <c r="A31" s="545"/>
      <c r="B31" s="47" t="s">
        <v>241</v>
      </c>
      <c r="C31" s="48"/>
      <c r="D31" s="49"/>
      <c r="E31" s="695">
        <f>VLOOKUP("Conflict Ped 1",Data!$A$1200:$I$1226,7,FALSE)</f>
        <v>0</v>
      </c>
      <c r="F31" s="696">
        <f>VLOOKUP("Conflict Ped 2",Data!$A$1200:$I$1226,7,FALSE)</f>
        <v>0</v>
      </c>
      <c r="G31" s="696">
        <f>VLOOKUP("Conflict Ped 3",Data!$A$1200:$I$1226,7,FALSE)</f>
        <v>0</v>
      </c>
      <c r="H31" s="696">
        <f>VLOOKUP("Conflict Ped 4",Data!$A$1200:$I$1226,7,FALSE)</f>
        <v>0</v>
      </c>
      <c r="I31" s="696">
        <f>VLOOKUP("Conflict Ped 5",Data!$A$1200:$I$1226,7,FALSE)</f>
        <v>0</v>
      </c>
      <c r="J31" s="696">
        <f>VLOOKUP("Conflict Ped 6",Data!$A$1200:$I$1226,7,FALSE)</f>
        <v>0</v>
      </c>
      <c r="K31" s="696">
        <f>VLOOKUP("Conflict Ped 7",Data!$A$1200:$I$1226,7,FALSE)</f>
        <v>0</v>
      </c>
      <c r="L31" s="919">
        <f>VLOOKUP("Conflict Ped 8",Data!$A$1200:$I$1226,7,FALSE)</f>
        <v>0</v>
      </c>
      <c r="M31" s="2174"/>
      <c r="N31" s="2175"/>
      <c r="O31" s="535"/>
      <c r="P31" s="573">
        <v>2</v>
      </c>
      <c r="Q31" s="762">
        <f>VLOOKUP("Extend Dwell",Data!$A$1904:$G$1904,3,FALSE)</f>
        <v>0</v>
      </c>
      <c r="R31" s="744">
        <f>VLOOKUP("Return Max",Data!$A$1909:$G$1909,3,FALSE)</f>
        <v>0</v>
      </c>
      <c r="S31" s="745">
        <f>VLOOKUP("Ped Clear",Data!$A$1907:$G$1907,3,FALSE)</f>
        <v>0</v>
      </c>
      <c r="T31" s="745">
        <f>VLOOKUP("Yellow",Data!$A$1926:$G$1926,3,FALSE)</f>
        <v>0</v>
      </c>
      <c r="U31" s="746">
        <f>VLOOKUP("Red",Data!$A$1908:$G$1908,3,FALSE)</f>
        <v>0</v>
      </c>
      <c r="V31" s="1662"/>
      <c r="W31" s="1663"/>
      <c r="X31" s="1663"/>
      <c r="Y31" s="156"/>
      <c r="Z31" s="2190">
        <v>4</v>
      </c>
      <c r="AA31" s="62" t="s">
        <v>254</v>
      </c>
      <c r="AB31" s="62"/>
      <c r="AC31" s="715">
        <f>VLOOKUP("Track Over 1",Data!$A:$G,5,FALSE)</f>
        <v>0</v>
      </c>
      <c r="AD31" s="716">
        <f>VLOOKUP("Track Over 2",Data!$A:$G,5,FALSE)</f>
        <v>0</v>
      </c>
      <c r="AE31" s="716">
        <f>VLOOKUP("Track Over 3",Data!$A:$G,5,FALSE)</f>
        <v>0</v>
      </c>
      <c r="AF31" s="716">
        <f>VLOOKUP("Track Over 4",Data!$A:$G,5,FALSE)</f>
        <v>0</v>
      </c>
      <c r="AG31" s="716">
        <f>VLOOKUP("Track Over 5",Data!$A:$G,5,FALSE)</f>
        <v>0</v>
      </c>
      <c r="AH31" s="716">
        <f>VLOOKUP("Track Over 6",Data!$A:$G,5,FALSE)</f>
        <v>0</v>
      </c>
      <c r="AI31" s="716">
        <f>VLOOKUP("Track Over 7",Data!$A:$G,5,FALSE)</f>
        <v>0</v>
      </c>
      <c r="AJ31" s="716">
        <f>VLOOKUP("Track Over 8",Data!$A:$G,5,FALSE)</f>
        <v>0</v>
      </c>
      <c r="AK31" s="716">
        <f>VLOOKUP("Track Over 9",Data!$A:$G,5,FALSE)</f>
        <v>0</v>
      </c>
      <c r="AL31" s="717">
        <f>VLOOKUP("Track Over 10",Data!$A:$G,5,FALSE)</f>
        <v>0</v>
      </c>
      <c r="AO31" s="119"/>
      <c r="AP31" s="45"/>
      <c r="AQ31" s="45"/>
      <c r="AR31" s="45"/>
      <c r="AS31" s="45"/>
      <c r="AT31" s="45"/>
      <c r="AU31" s="45"/>
      <c r="AV31" s="45"/>
    </row>
    <row r="32" spans="1:48" ht="11.85" customHeight="1">
      <c r="A32" s="542"/>
      <c r="B32" s="56" t="s">
        <v>230</v>
      </c>
      <c r="C32" s="53"/>
      <c r="D32" s="54"/>
      <c r="E32" s="686">
        <f>VLOOKUP("Included P1",Data!$A$1177:$I$1226,8,FALSE)</f>
        <v>0</v>
      </c>
      <c r="F32" s="687">
        <f>VLOOKUP("Included P2",Data!$A$1177:$I$1226,8,FALSE)</f>
        <v>0</v>
      </c>
      <c r="G32" s="687">
        <f>VLOOKUP("Included P3",Data!$A$1177:$I$1226,8,FALSE)</f>
        <v>0</v>
      </c>
      <c r="H32" s="687">
        <f>VLOOKUP("Included P4",Data!$A$1177:$I$1226,8,FALSE)</f>
        <v>0</v>
      </c>
      <c r="I32" s="687">
        <f>VLOOKUP("Included P5",Data!$A$1177:$I$1226,8,FALSE)</f>
        <v>0</v>
      </c>
      <c r="J32" s="687">
        <f>VLOOKUP("Included P6",Data!$A$1177:$I$1226,8,FALSE)</f>
        <v>0</v>
      </c>
      <c r="K32" s="687">
        <f>VLOOKUP("Included P7",Data!$A$1177:$I$1226,8,FALSE)</f>
        <v>0</v>
      </c>
      <c r="L32" s="688">
        <f>VLOOKUP("Included P8",Data!$A$1177:$I$1226,8,FALSE)</f>
        <v>0</v>
      </c>
      <c r="M32" s="2186" t="str">
        <f>VLOOKUP("Type",Data!$A$1197:$I$1197,8,FALSE)</f>
        <v>NORMAL</v>
      </c>
      <c r="N32" s="2187"/>
      <c r="O32" s="535"/>
      <c r="P32" s="573">
        <v>3</v>
      </c>
      <c r="Q32" s="763">
        <f>VLOOKUP("Extend Dwell",Data!$A$1904:$G$1904,4,FALSE)</f>
        <v>0</v>
      </c>
      <c r="R32" s="747">
        <f>VLOOKUP("Return Max",Data!$A$1909:$G$1909,4,FALSE)</f>
        <v>20</v>
      </c>
      <c r="S32" s="748">
        <f>VLOOKUP("Ped Clear",Data!$A$1907:$G$1907,4,FALSE)</f>
        <v>0</v>
      </c>
      <c r="T32" s="748">
        <f>VLOOKUP("Yellow",Data!$A$1926:$G$1926,4,FALSE)</f>
        <v>0</v>
      </c>
      <c r="U32" s="749">
        <f>VLOOKUP("Red",Data!$A$1908:$G$1908,4,FALSE)</f>
        <v>0</v>
      </c>
      <c r="V32" s="1662"/>
      <c r="W32" s="1663"/>
      <c r="X32" s="1663"/>
      <c r="Y32" s="156"/>
      <c r="Z32" s="2191"/>
      <c r="AA32" s="2250" t="s">
        <v>14</v>
      </c>
      <c r="AB32" s="2251"/>
      <c r="AC32" s="718">
        <f>VLOOKUP("DwellCyc Over 1",Data!$A:$G,5,FALSE)</f>
        <v>0</v>
      </c>
      <c r="AD32" s="719">
        <f>VLOOKUP("DwellCyc Over 2",Data!$A:$G,5,FALSE)</f>
        <v>0</v>
      </c>
      <c r="AE32" s="719">
        <f>VLOOKUP("DwellCyc Over 3",Data!$A:$G,5,FALSE)</f>
        <v>0</v>
      </c>
      <c r="AF32" s="719">
        <f>VLOOKUP("DwellCyc Over 4",Data!$A:$G,5,FALSE)</f>
        <v>0</v>
      </c>
      <c r="AG32" s="719">
        <f>VLOOKUP("DwellCyc Over 5",Data!$A:$G,5,FALSE)</f>
        <v>0</v>
      </c>
      <c r="AH32" s="719">
        <f>VLOOKUP("DwellCyc Over 6",Data!$A:$G,5,FALSE)</f>
        <v>0</v>
      </c>
      <c r="AI32" s="719">
        <f>VLOOKUP("DwellCyc Over 7",Data!$A:$G,5,FALSE)</f>
        <v>0</v>
      </c>
      <c r="AJ32" s="719">
        <f>VLOOKUP("DwellCyc Over 8",Data!$A:$G,5,FALSE)</f>
        <v>0</v>
      </c>
      <c r="AK32" s="719">
        <f>VLOOKUP("DwellCyc Over 9",Data!$A:$G,5,FALSE)</f>
        <v>0</v>
      </c>
      <c r="AL32" s="720">
        <f>VLOOKUP("DwellCyc Over 10",Data!$A:$G,5,FALSE)</f>
        <v>0</v>
      </c>
      <c r="AO32" s="119"/>
      <c r="AP32" s="45"/>
      <c r="AQ32" s="45"/>
      <c r="AR32" s="45"/>
      <c r="AS32" s="45"/>
      <c r="AT32" s="45"/>
      <c r="AU32" s="45"/>
      <c r="AV32" s="45"/>
    </row>
    <row r="33" spans="1:48" ht="11.85" customHeight="1">
      <c r="A33" s="543">
        <v>7</v>
      </c>
      <c r="B33" s="47" t="s">
        <v>236</v>
      </c>
      <c r="C33" s="48"/>
      <c r="D33" s="49"/>
      <c r="E33" s="689">
        <f>VLOOKUP("Modify P1",Data!$A$1177:$I$1226,8,FALSE)</f>
        <v>0</v>
      </c>
      <c r="F33" s="690">
        <f>VLOOKUP("Modify P2",Data!$A$1177:$I$1226,8,FALSE)</f>
        <v>0</v>
      </c>
      <c r="G33" s="690">
        <f>VLOOKUP("Modify P3",Data!$A$1177:$I$1226,8,FALSE)</f>
        <v>0</v>
      </c>
      <c r="H33" s="690">
        <f>VLOOKUP("Modify P4",Data!$A$1177:$I$1226,8,FALSE)</f>
        <v>0</v>
      </c>
      <c r="I33" s="690">
        <f>VLOOKUP("Modify P5",Data!$A$1177:$I$1226,8,FALSE)</f>
        <v>0</v>
      </c>
      <c r="J33" s="690">
        <f>VLOOKUP("Modify P6",Data!$A$1177:$I$1226,8,FALSE)</f>
        <v>0</v>
      </c>
      <c r="K33" s="690">
        <f>VLOOKUP("Modify P7",Data!$A$1177:$I$1226,8,FALSE)</f>
        <v>0</v>
      </c>
      <c r="L33" s="691">
        <f>VLOOKUP("Modify P8",Data!$A$1177:$I$1226,8,FALSE)</f>
        <v>0</v>
      </c>
      <c r="M33" s="51" t="s">
        <v>50</v>
      </c>
      <c r="N33" s="918">
        <f>VLOOKUP("Green",Data!$A$1179:$I$1179,8,FALSE)</f>
        <v>0</v>
      </c>
      <c r="O33" s="535"/>
      <c r="P33" s="573">
        <v>4</v>
      </c>
      <c r="Q33" s="762">
        <f>VLOOKUP("Extend Dwell",Data!$A$1904:$G$1904,5,FALSE)</f>
        <v>0</v>
      </c>
      <c r="R33" s="744">
        <f>VLOOKUP("Return Max",Data!$A$1909:$G$1909,5,FALSE)</f>
        <v>20</v>
      </c>
      <c r="S33" s="745">
        <f>VLOOKUP("Ped Clear",Data!$A$1907:$G$1907,5,FALSE)</f>
        <v>0</v>
      </c>
      <c r="T33" s="745">
        <f>VLOOKUP("Yellow",Data!$A$1926:$G$1926,5,FALSE)</f>
        <v>0</v>
      </c>
      <c r="U33" s="746">
        <f>VLOOKUP("Red",Data!$A$1908:$G$1908,5,FALSE)</f>
        <v>0</v>
      </c>
      <c r="V33" s="1662"/>
      <c r="W33" s="1663"/>
      <c r="X33" s="1663"/>
      <c r="Y33" s="156"/>
      <c r="Z33" s="2190">
        <v>5</v>
      </c>
      <c r="AA33" s="62" t="s">
        <v>254</v>
      </c>
      <c r="AB33" s="62"/>
      <c r="AC33" s="715">
        <f>VLOOKUP("Track Over 1",Data!$A:$G,6,FALSE)</f>
        <v>0</v>
      </c>
      <c r="AD33" s="716">
        <f>VLOOKUP("Track Over 2",Data!$A:$G,6,FALSE)</f>
        <v>0</v>
      </c>
      <c r="AE33" s="716">
        <f>VLOOKUP("Track Over 3",Data!$A:$G,6,FALSE)</f>
        <v>0</v>
      </c>
      <c r="AF33" s="716">
        <f>VLOOKUP("Track Over 4",Data!$A:$G,6,FALSE)</f>
        <v>0</v>
      </c>
      <c r="AG33" s="716">
        <f>VLOOKUP("Track Over 5",Data!$A:$G,6,FALSE)</f>
        <v>0</v>
      </c>
      <c r="AH33" s="716">
        <f>VLOOKUP("Track Over 6",Data!$A:$G,6,FALSE)</f>
        <v>0</v>
      </c>
      <c r="AI33" s="716">
        <f>VLOOKUP("Track Over 7",Data!$A:$G,6,FALSE)</f>
        <v>0</v>
      </c>
      <c r="AJ33" s="716">
        <f>VLOOKUP("Track Over 8",Data!$A:$G,6,FALSE)</f>
        <v>0</v>
      </c>
      <c r="AK33" s="716">
        <f>VLOOKUP("Track Over 9",Data!$A:$G,6,FALSE)</f>
        <v>0</v>
      </c>
      <c r="AL33" s="717">
        <f>VLOOKUP("Track Over 10",Data!$A:$G,6,FALSE)</f>
        <v>0</v>
      </c>
      <c r="AO33" s="119"/>
      <c r="AP33" s="45"/>
      <c r="AQ33" s="45"/>
      <c r="AR33" s="45"/>
      <c r="AS33" s="45"/>
      <c r="AT33" s="45"/>
      <c r="AU33" s="45"/>
      <c r="AV33" s="45"/>
    </row>
    <row r="34" spans="1:48" ht="11.85" customHeight="1">
      <c r="A34" s="543"/>
      <c r="B34" s="47" t="s">
        <v>237</v>
      </c>
      <c r="C34" s="48"/>
      <c r="D34" s="49"/>
      <c r="E34" s="692">
        <f>VLOOKUP("Conflict P1",Data!$A$1200:$I$1226,8,FALSE)</f>
        <v>0</v>
      </c>
      <c r="F34" s="693">
        <f>VLOOKUP("Conflict P2",Data!$A$1200:$I$1226,8,FALSE)</f>
        <v>0</v>
      </c>
      <c r="G34" s="693">
        <f>VLOOKUP("Conflict P3",Data!$A$1200:$I$1226,8,FALSE)</f>
        <v>0</v>
      </c>
      <c r="H34" s="693">
        <f>VLOOKUP("Conflict P4",Data!$A$1200:$I$1226,8,FALSE)</f>
        <v>0</v>
      </c>
      <c r="I34" s="693">
        <f>VLOOKUP("Conflict P5",Data!$A$1200:$I$1226,8,FALSE)</f>
        <v>0</v>
      </c>
      <c r="J34" s="693">
        <f>VLOOKUP("Conflict P6",Data!$A$1200:$I$1226,8,FALSE)</f>
        <v>0</v>
      </c>
      <c r="K34" s="693">
        <f>VLOOKUP("Conflict P7",Data!$A$1200:$I$1226,8,FALSE)</f>
        <v>0</v>
      </c>
      <c r="L34" s="694">
        <f>VLOOKUP("Conflict P8",Data!$A$1200:$I$1226,8,FALSE)</f>
        <v>0</v>
      </c>
      <c r="M34" s="51" t="s">
        <v>51</v>
      </c>
      <c r="N34" s="918">
        <f>VLOOKUP("Yellow",Data!$A$1198:$I$1198,8,FALSE)</f>
        <v>3</v>
      </c>
      <c r="O34" s="535"/>
      <c r="P34" s="573">
        <v>5</v>
      </c>
      <c r="Q34" s="764">
        <f>VLOOKUP("Extend Dwell",Data!$A$1904:$G$1904,6,FALSE)</f>
        <v>0</v>
      </c>
      <c r="R34" s="750">
        <f>VLOOKUP("Return Max",Data!$A$1909:$G$1909,6,FALSE)</f>
        <v>20</v>
      </c>
      <c r="S34" s="751">
        <f>VLOOKUP("Ped Clear",Data!$A$1907:$G$1907,6,FALSE)</f>
        <v>0</v>
      </c>
      <c r="T34" s="751">
        <f>VLOOKUP("Yellow",Data!$A$1926:$G$1926,6,FALSE)</f>
        <v>0</v>
      </c>
      <c r="U34" s="752">
        <f>VLOOKUP("Red",Data!$A$1908:$G$1908,6,FALSE)</f>
        <v>0</v>
      </c>
      <c r="V34" s="1662"/>
      <c r="W34" s="1663"/>
      <c r="X34" s="1663"/>
      <c r="Y34" s="156"/>
      <c r="Z34" s="2191"/>
      <c r="AA34" s="2250" t="s">
        <v>14</v>
      </c>
      <c r="AB34" s="2251"/>
      <c r="AC34" s="718">
        <f>VLOOKUP("DwellCyc Over 1",Data!$A:$G,6,FALSE)</f>
        <v>0</v>
      </c>
      <c r="AD34" s="719">
        <f>VLOOKUP("DwellCyc Over 2",Data!$A:$G,6,FALSE)</f>
        <v>0</v>
      </c>
      <c r="AE34" s="719">
        <f>VLOOKUP("DwellCyc Over 3",Data!$A:$G,6,FALSE)</f>
        <v>0</v>
      </c>
      <c r="AF34" s="719">
        <f>VLOOKUP("DwellCyc Over 4",Data!$A:$G,6,FALSE)</f>
        <v>0</v>
      </c>
      <c r="AG34" s="719">
        <f>VLOOKUP("DwellCyc Over 5",Data!$A:$G,6,FALSE)</f>
        <v>0</v>
      </c>
      <c r="AH34" s="719">
        <f>VLOOKUP("DwellCyc Over 6",Data!$A:$G,6,FALSE)</f>
        <v>0</v>
      </c>
      <c r="AI34" s="719">
        <f>VLOOKUP("DwellCyc Over 7",Data!$A:$G,6,FALSE)</f>
        <v>0</v>
      </c>
      <c r="AJ34" s="719">
        <f>VLOOKUP("DwellCyc Over 8",Data!$A:$G,6,FALSE)</f>
        <v>0</v>
      </c>
      <c r="AK34" s="719">
        <f>VLOOKUP("DwellCyc Over 9",Data!$A:$G,6,FALSE)</f>
        <v>0</v>
      </c>
      <c r="AL34" s="720">
        <f>VLOOKUP("DwellCyc Over 10",Data!$A:$G,6,FALSE)</f>
        <v>0</v>
      </c>
      <c r="AO34" s="119"/>
      <c r="AP34" s="45"/>
      <c r="AQ34" s="45"/>
      <c r="AR34" s="45"/>
      <c r="AS34" s="45"/>
      <c r="AT34" s="45"/>
      <c r="AU34" s="45"/>
      <c r="AV34" s="45"/>
    </row>
    <row r="35" spans="1:48" ht="11.85" customHeight="1" thickBot="1">
      <c r="A35" s="543" t="s">
        <v>258</v>
      </c>
      <c r="B35" s="47" t="s">
        <v>240</v>
      </c>
      <c r="C35" s="48"/>
      <c r="D35" s="49"/>
      <c r="E35" s="692">
        <f>VLOOKUP("Conflict O1",Data!$A$1200:$I$1226,8,FALSE)</f>
        <v>0</v>
      </c>
      <c r="F35" s="693">
        <f>VLOOKUP("Conflict O2",Data!$A$1200:$I$1226,8,FALSE)</f>
        <v>0</v>
      </c>
      <c r="G35" s="693">
        <f>VLOOKUP("Conflict O3",Data!$A$1200:$I$1226,8,FALSE)</f>
        <v>0</v>
      </c>
      <c r="H35" s="693">
        <f>VLOOKUP("Conflict O4",Data!$A$1200:$I$1226,8,FALSE)</f>
        <v>0</v>
      </c>
      <c r="I35" s="693">
        <f>VLOOKUP("Conflict O5",Data!$A$1200:$I$1226,8,FALSE)</f>
        <v>0</v>
      </c>
      <c r="J35" s="693">
        <f>VLOOKUP("Conflict O6",Data!$A$1200:$I$1226,8,FALSE)</f>
        <v>0</v>
      </c>
      <c r="K35" s="693">
        <f>VLOOKUP("Conflict O7",Data!$A$1200:$I$1226,8,FALSE)</f>
        <v>0</v>
      </c>
      <c r="L35" s="694">
        <f>VLOOKUP("Conflict O8",Data!$A$1200:$I$1226,8,FALSE)</f>
        <v>0</v>
      </c>
      <c r="M35" s="51" t="s">
        <v>52</v>
      </c>
      <c r="N35" s="918">
        <f>VLOOKUP("Red",Data!$A$1196:$I$1196,8,FALSE)</f>
        <v>1</v>
      </c>
      <c r="O35" s="535"/>
      <c r="P35" s="760">
        <v>6</v>
      </c>
      <c r="Q35" s="765">
        <f>VLOOKUP("Extend Dwell",Data!$A$1904:$G$1904,7,FALSE)</f>
        <v>0</v>
      </c>
      <c r="R35" s="766">
        <f>VLOOKUP("Return Max",Data!$A$1909:$G$1909,7,FALSE)</f>
        <v>20</v>
      </c>
      <c r="S35" s="767">
        <f>VLOOKUP("Ped Clear",Data!$A$1907:$G$1907,7,FALSE)</f>
        <v>0</v>
      </c>
      <c r="T35" s="767">
        <f>VLOOKUP("Yellow",Data!$A$1926:$G$1926,7,FALSE)</f>
        <v>0</v>
      </c>
      <c r="U35" s="768">
        <f>VLOOKUP("Red",Data!$A$1908:$G$1908,7,FALSE)</f>
        <v>0</v>
      </c>
      <c r="V35" s="1662"/>
      <c r="W35" s="1663"/>
      <c r="X35" s="1663"/>
      <c r="Y35" s="156"/>
      <c r="Z35" s="2190">
        <v>6</v>
      </c>
      <c r="AA35" s="62" t="s">
        <v>254</v>
      </c>
      <c r="AB35" s="62"/>
      <c r="AC35" s="715">
        <f>VLOOKUP("Track Over 1",Data!$A:$G,7,FALSE)</f>
        <v>0</v>
      </c>
      <c r="AD35" s="716">
        <f>VLOOKUP("Track Over 2",Data!$A:$G,7,FALSE)</f>
        <v>0</v>
      </c>
      <c r="AE35" s="716">
        <f>VLOOKUP("Track Over 3",Data!$A:$G,7,FALSE)</f>
        <v>0</v>
      </c>
      <c r="AF35" s="716">
        <f>VLOOKUP("Track Over 4",Data!$A:$G,7,FALSE)</f>
        <v>0</v>
      </c>
      <c r="AG35" s="716">
        <f>VLOOKUP("Track Over 5",Data!$A:$G,7,FALSE)</f>
        <v>0</v>
      </c>
      <c r="AH35" s="716">
        <f>VLOOKUP("Track Over 6",Data!$A:$G,7,FALSE)</f>
        <v>0</v>
      </c>
      <c r="AI35" s="716">
        <f>VLOOKUP("Track Over 7",Data!$A:$G,7,FALSE)</f>
        <v>0</v>
      </c>
      <c r="AJ35" s="716">
        <f>VLOOKUP("Track Over 8",Data!$A:$G,7,FALSE)</f>
        <v>0</v>
      </c>
      <c r="AK35" s="716">
        <f>VLOOKUP("Track Over 9",Data!$A:$G,7,FALSE)</f>
        <v>0</v>
      </c>
      <c r="AL35" s="717">
        <f>VLOOKUP("Track Over 10",Data!$A:$G,7,FALSE)</f>
        <v>0</v>
      </c>
      <c r="AO35" s="119"/>
      <c r="AP35" s="45"/>
      <c r="AQ35" s="45"/>
      <c r="AR35" s="45"/>
      <c r="AS35" s="45"/>
      <c r="AT35" s="45"/>
      <c r="AU35" s="45"/>
      <c r="AV35" s="45"/>
    </row>
    <row r="36" spans="1:48" ht="11.85" customHeight="1" thickBot="1">
      <c r="A36" s="543"/>
      <c r="B36" s="52" t="s">
        <v>241</v>
      </c>
      <c r="C36" s="57"/>
      <c r="D36" s="49"/>
      <c r="E36" s="695">
        <f>VLOOKUP("Conflict Ped 1",Data!$A$1200:$I$1226,8,FALSE)</f>
        <v>0</v>
      </c>
      <c r="F36" s="696">
        <f>VLOOKUP("Conflict Ped 2",Data!$A$1200:$I$1226,8,FALSE)</f>
        <v>0</v>
      </c>
      <c r="G36" s="696">
        <f>VLOOKUP("Conflict Ped 3",Data!$A$1200:$I$1226,8,FALSE)</f>
        <v>0</v>
      </c>
      <c r="H36" s="696">
        <f>VLOOKUP("Conflict Ped 4",Data!$A$1200:$I$1226,8,FALSE)</f>
        <v>0</v>
      </c>
      <c r="I36" s="696">
        <f>VLOOKUP("Conflict Ped 5",Data!$A$1200:$I$1226,8,FALSE)</f>
        <v>0</v>
      </c>
      <c r="J36" s="696">
        <f>VLOOKUP("Conflict Ped 6",Data!$A$1200:$I$1226,8,FALSE)</f>
        <v>0</v>
      </c>
      <c r="K36" s="696">
        <f>VLOOKUP("Conflict Ped 7",Data!$A$1200:$I$1226,8,FALSE)</f>
        <v>0</v>
      </c>
      <c r="L36" s="919">
        <f>VLOOKUP("Conflict Ped 8",Data!$A$1200:$I$1226,8,FALSE)</f>
        <v>0</v>
      </c>
      <c r="M36" s="2174"/>
      <c r="N36" s="2175"/>
      <c r="O36" s="535"/>
      <c r="Q36" s="156"/>
      <c r="R36" s="156"/>
      <c r="S36" s="156"/>
      <c r="T36" s="156"/>
      <c r="U36" s="156"/>
      <c r="V36" s="156"/>
      <c r="W36" s="156"/>
      <c r="X36" s="156"/>
      <c r="Y36" s="156"/>
      <c r="Z36" s="2252"/>
      <c r="AA36" s="2253" t="s">
        <v>14</v>
      </c>
      <c r="AB36" s="2254"/>
      <c r="AC36" s="792">
        <f>VLOOKUP("DwellCyc Over 1",Data!$A:$G,7,FALSE)</f>
        <v>0</v>
      </c>
      <c r="AD36" s="793">
        <f>VLOOKUP("DwellCyc Over 2",Data!$A:$G,7,FALSE)</f>
        <v>0</v>
      </c>
      <c r="AE36" s="793">
        <f>VLOOKUP("DwellCyc Over 3",Data!$A:$G,7,FALSE)</f>
        <v>0</v>
      </c>
      <c r="AF36" s="793">
        <f>VLOOKUP("DwellCyc Over 4",Data!$A:$G,7,FALSE)</f>
        <v>0</v>
      </c>
      <c r="AG36" s="793">
        <f>VLOOKUP("DwellCyc Over 5",Data!$A:$G,7,FALSE)</f>
        <v>0</v>
      </c>
      <c r="AH36" s="793">
        <f>VLOOKUP("DwellCyc Over 6",Data!$A:$G,7,FALSE)</f>
        <v>0</v>
      </c>
      <c r="AI36" s="794">
        <f>VLOOKUP("DwellCyc Over 7",Data!$A:$G,7,FALSE)</f>
        <v>0</v>
      </c>
      <c r="AJ36" s="794">
        <f>VLOOKUP("DwellCyc Over 8",Data!$A:$G,7,FALSE)</f>
        <v>0</v>
      </c>
      <c r="AK36" s="794">
        <f>VLOOKUP("DwellCyc Over 9",Data!$A:$G,7,FALSE)</f>
        <v>0</v>
      </c>
      <c r="AL36" s="795">
        <f>VLOOKUP("DwellCyc Over 10",Data!$A:$G,7,FALSE)</f>
        <v>0</v>
      </c>
      <c r="AO36" s="119"/>
      <c r="AP36" s="45"/>
      <c r="AQ36" s="45"/>
      <c r="AR36" s="45"/>
      <c r="AS36" s="45"/>
      <c r="AT36" s="45"/>
      <c r="AU36" s="45"/>
      <c r="AV36" s="45"/>
    </row>
    <row r="37" spans="1:48" ht="11.85" customHeight="1">
      <c r="A37" s="544"/>
      <c r="B37" s="47" t="s">
        <v>230</v>
      </c>
      <c r="C37" s="48"/>
      <c r="D37" s="49"/>
      <c r="E37" s="686">
        <f>VLOOKUP("Included P1",Data!$A$1177:$I$1226,9,FALSE)</f>
        <v>0</v>
      </c>
      <c r="F37" s="687">
        <f>VLOOKUP("Included P2",Data!$A$1177:$I$1226,9,FALSE)</f>
        <v>0</v>
      </c>
      <c r="G37" s="687">
        <f>VLOOKUP("Included P3",Data!$A$1177:$I$1226,9,FALSE)</f>
        <v>0</v>
      </c>
      <c r="H37" s="687">
        <f>VLOOKUP("Included P4",Data!$A$1177:$I$1226,9,FALSE)</f>
        <v>0</v>
      </c>
      <c r="I37" s="687">
        <f>VLOOKUP("Included P5",Data!$A$1177:$I$1226,9,FALSE)</f>
        <v>0</v>
      </c>
      <c r="J37" s="687">
        <f>VLOOKUP("Included P6",Data!$A$1177:$I$1226,9,FALSE)</f>
        <v>0</v>
      </c>
      <c r="K37" s="687">
        <f>VLOOKUP("Included P7",Data!$A$1177:$I$1226,9,FALSE)</f>
        <v>0</v>
      </c>
      <c r="L37" s="688">
        <f>VLOOKUP("Included P8",Data!$A$1177:$I$1226,9,FALSE)</f>
        <v>0</v>
      </c>
      <c r="M37" s="2186" t="str">
        <f>VLOOKUP("Type",Data!$A$1197:$I$1197,9,FALSE)</f>
        <v>NORMAL</v>
      </c>
      <c r="N37" s="2187"/>
      <c r="O37" s="535"/>
      <c r="P37" s="1309" t="s">
        <v>3767</v>
      </c>
      <c r="Q37" s="972"/>
      <c r="R37" s="972"/>
      <c r="S37" s="972"/>
      <c r="T37" s="972"/>
      <c r="U37" s="1310" t="s">
        <v>3971</v>
      </c>
      <c r="V37" s="1310"/>
      <c r="W37" s="1311"/>
      <c r="X37" s="484"/>
      <c r="Y37" s="484"/>
      <c r="Z37" s="2178" t="s">
        <v>3973</v>
      </c>
      <c r="AA37" s="2179"/>
      <c r="AB37" s="2179"/>
      <c r="AC37" s="2179"/>
      <c r="AD37" s="2179"/>
      <c r="AE37" s="2179"/>
      <c r="AF37" s="2179"/>
      <c r="AG37" s="2179"/>
      <c r="AH37" s="2180"/>
      <c r="AI37" s="152"/>
      <c r="AJ37" s="152"/>
      <c r="AK37" s="152"/>
      <c r="AL37" s="552"/>
      <c r="AO37" s="119"/>
    </row>
    <row r="38" spans="1:48" ht="11.85" customHeight="1">
      <c r="A38" s="543">
        <v>8</v>
      </c>
      <c r="B38" s="47" t="s">
        <v>236</v>
      </c>
      <c r="C38" s="48"/>
      <c r="D38" s="49"/>
      <c r="E38" s="689">
        <f>VLOOKUP("Modify P1",Data!$A$1177:$I$1226,9,FALSE)</f>
        <v>0</v>
      </c>
      <c r="F38" s="690">
        <f>VLOOKUP("Modify P2",Data!$A$1177:$I$1226,9,FALSE)</f>
        <v>0</v>
      </c>
      <c r="G38" s="690">
        <f>VLOOKUP("Modify P3",Data!$A$1177:$I$1226,9,FALSE)</f>
        <v>0</v>
      </c>
      <c r="H38" s="690">
        <f>VLOOKUP("Modify P4",Data!$A$1177:$I$1226,9,FALSE)</f>
        <v>0</v>
      </c>
      <c r="I38" s="690">
        <f>VLOOKUP("Modify P5",Data!$A$1177:$I$1226,9,FALSE)</f>
        <v>0</v>
      </c>
      <c r="J38" s="690">
        <f>VLOOKUP("Modify P6",Data!$A$1177:$I$1226,9,FALSE)</f>
        <v>0</v>
      </c>
      <c r="K38" s="690">
        <f>VLOOKUP("Modify P7",Data!$A$1177:$I$1226,9,FALSE)</f>
        <v>0</v>
      </c>
      <c r="L38" s="691">
        <f>VLOOKUP("Modify P8",Data!$A$1177:$I$1226,9,FALSE)</f>
        <v>0</v>
      </c>
      <c r="M38" s="51" t="s">
        <v>50</v>
      </c>
      <c r="N38" s="918">
        <f>VLOOKUP("Green",Data!$A$1179:$I$1179,9,FALSE)</f>
        <v>0</v>
      </c>
      <c r="O38" s="535"/>
      <c r="P38" s="2162" t="s">
        <v>2382</v>
      </c>
      <c r="Q38" s="2163"/>
      <c r="R38" s="2188"/>
      <c r="S38" s="1304" t="str">
        <f>VLOOKUP("Leading Green",Data!$A$1227:$G$1244,2,FALSE)</f>
        <v>OFF</v>
      </c>
      <c r="T38" s="2172" t="s">
        <v>2372</v>
      </c>
      <c r="U38" s="2172"/>
      <c r="V38" s="2172"/>
      <c r="W38" s="1312" t="str">
        <f>VLOOKUP("FYA MCE Disable",Data!$A$1227:$G$1244,2,FALSE)</f>
        <v>OFF</v>
      </c>
      <c r="X38" s="156"/>
      <c r="Y38" s="156"/>
      <c r="Z38" s="2162" t="s">
        <v>2382</v>
      </c>
      <c r="AA38" s="2163"/>
      <c r="AB38" s="2163"/>
      <c r="AC38" s="1304" t="str">
        <f>VLOOKUP("Leading Green",Data!$A$1227:$G$1244,4,FALSE)</f>
        <v>OFF</v>
      </c>
      <c r="AD38" s="2172" t="s">
        <v>2372</v>
      </c>
      <c r="AE38" s="2172"/>
      <c r="AF38" s="2172"/>
      <c r="AG38" s="2172"/>
      <c r="AH38" s="1312" t="str">
        <f>VLOOKUP("FYA MCE Disable",Data!$A$1227:$G$1244,4,FALSE)</f>
        <v>OFF</v>
      </c>
      <c r="AI38" s="152"/>
      <c r="AJ38" s="152"/>
      <c r="AK38" s="152"/>
      <c r="AL38" s="326"/>
      <c r="AO38" s="119"/>
    </row>
    <row r="39" spans="1:48" ht="11.85" customHeight="1">
      <c r="A39" s="543"/>
      <c r="B39" s="47" t="s">
        <v>237</v>
      </c>
      <c r="C39" s="48"/>
      <c r="D39" s="49"/>
      <c r="E39" s="692">
        <f>VLOOKUP("Conflict P1",Data!$A$1200:$I$1226,9,FALSE)</f>
        <v>0</v>
      </c>
      <c r="F39" s="693">
        <f>VLOOKUP("Conflict P2",Data!$A$1200:$I$1226,9,FALSE)</f>
        <v>0</v>
      </c>
      <c r="G39" s="693">
        <f>VLOOKUP("Conflict P3",Data!$A$1200:$I$1226,9,FALSE)</f>
        <v>0</v>
      </c>
      <c r="H39" s="693">
        <f>VLOOKUP("Conflict P4",Data!$A$1200:$I$1226,9,FALSE)</f>
        <v>0</v>
      </c>
      <c r="I39" s="693">
        <f>VLOOKUP("Conflict P5",Data!$A$1200:$I$1226,9,FALSE)</f>
        <v>0</v>
      </c>
      <c r="J39" s="693">
        <f>VLOOKUP("Conflict P6",Data!$A$1200:$I$1226,9,FALSE)</f>
        <v>0</v>
      </c>
      <c r="K39" s="693">
        <f>VLOOKUP("Conflict P7",Data!$A$1200:$I$1226,9,FALSE)</f>
        <v>0</v>
      </c>
      <c r="L39" s="694">
        <f>VLOOKUP("Conflict P8",Data!$A$1200:$I$1226,9,FALSE)</f>
        <v>0</v>
      </c>
      <c r="M39" s="51" t="s">
        <v>51</v>
      </c>
      <c r="N39" s="918">
        <f>VLOOKUP("Yellow",Data!$A$1198:$I$1198,9,FALSE)</f>
        <v>3</v>
      </c>
      <c r="O39" s="535"/>
      <c r="P39" s="2162" t="s">
        <v>2384</v>
      </c>
      <c r="Q39" s="2163"/>
      <c r="R39" s="2188"/>
      <c r="S39" s="1305">
        <f>VLOOKUP("Transit Input",Data!$A$1227:$G$1244,2,FALSE)</f>
        <v>0</v>
      </c>
      <c r="T39" s="2173" t="s">
        <v>2373</v>
      </c>
      <c r="U39" s="2173"/>
      <c r="V39" s="2173"/>
      <c r="W39" s="1313" t="str">
        <f>VLOOKUP("FYA Skip Red",Data!$A$1227:$G$1244,2,FALSE)</f>
        <v>OFF</v>
      </c>
      <c r="X39" s="156"/>
      <c r="Y39" s="156"/>
      <c r="Z39" s="2162" t="s">
        <v>2384</v>
      </c>
      <c r="AA39" s="2163"/>
      <c r="AB39" s="2163"/>
      <c r="AC39" s="1305">
        <f>VLOOKUP("Transit Input",Data!$A$1227:$G$1244,4,FALSE)</f>
        <v>0</v>
      </c>
      <c r="AD39" s="2173" t="s">
        <v>2373</v>
      </c>
      <c r="AE39" s="2173"/>
      <c r="AF39" s="2173"/>
      <c r="AG39" s="2173"/>
      <c r="AH39" s="1313" t="str">
        <f>VLOOKUP("FYA Skip Red",Data!$A$1227:$G$1244,4,FALSE)</f>
        <v>OFF</v>
      </c>
      <c r="AI39" s="152"/>
      <c r="AJ39" s="152"/>
      <c r="AK39" s="152"/>
      <c r="AL39" s="326"/>
      <c r="AO39" s="119"/>
      <c r="AP39" s="45"/>
      <c r="AQ39" s="45"/>
      <c r="AR39" s="45"/>
      <c r="AS39" s="45"/>
      <c r="AT39" s="45"/>
      <c r="AU39" s="45"/>
      <c r="AV39" s="45"/>
    </row>
    <row r="40" spans="1:48" ht="11.85" customHeight="1">
      <c r="A40" s="543" t="s">
        <v>260</v>
      </c>
      <c r="B40" s="47" t="s">
        <v>240</v>
      </c>
      <c r="C40" s="48"/>
      <c r="D40" s="49"/>
      <c r="E40" s="692">
        <f>VLOOKUP("Conflict O1",Data!$A$1200:$I$1226,9,FALSE)</f>
        <v>0</v>
      </c>
      <c r="F40" s="693">
        <f>VLOOKUP("Conflict O2",Data!$A$1200:$I$1226,9,FALSE)</f>
        <v>0</v>
      </c>
      <c r="G40" s="693">
        <f>VLOOKUP("Conflict O3",Data!$A$1200:$I$1226,9,FALSE)</f>
        <v>0</v>
      </c>
      <c r="H40" s="693">
        <f>VLOOKUP("Conflict O4",Data!$A$1200:$I$1226,9,FALSE)</f>
        <v>0</v>
      </c>
      <c r="I40" s="693">
        <f>VLOOKUP("Conflict O5",Data!$A$1200:$I$1226,9,FALSE)</f>
        <v>0</v>
      </c>
      <c r="J40" s="693">
        <f>VLOOKUP("Conflict O6",Data!$A$1200:$I$1226,9,FALSE)</f>
        <v>0</v>
      </c>
      <c r="K40" s="693">
        <f>VLOOKUP("Conflict O7",Data!$A$1200:$I$1226,9,FALSE)</f>
        <v>0</v>
      </c>
      <c r="L40" s="694">
        <f>VLOOKUP("Conflict O8",Data!$A$1200:$I$1226,9,FALSE)</f>
        <v>0</v>
      </c>
      <c r="M40" s="51" t="s">
        <v>52</v>
      </c>
      <c r="N40" s="918">
        <f>VLOOKUP("Red",Data!$A$1196:$I$1196,9,FALSE)</f>
        <v>1</v>
      </c>
      <c r="O40" s="535"/>
      <c r="P40" s="2162" t="s">
        <v>3761</v>
      </c>
      <c r="Q40" s="2163"/>
      <c r="R40" s="2188"/>
      <c r="S40" s="1305">
        <f>VLOOKUP("FYA Delay",Data!$A$1227:$G$1244,2,FALSE)</f>
        <v>0</v>
      </c>
      <c r="T40" s="2173" t="s">
        <v>3764</v>
      </c>
      <c r="U40" s="2173"/>
      <c r="V40" s="2173"/>
      <c r="W40" s="1313" t="str">
        <f>VLOOKUP("FYA After Preempt",Data!$A$1227:$G$1244,2,FALSE)</f>
        <v>OFF</v>
      </c>
      <c r="X40" s="156"/>
      <c r="Y40" s="156"/>
      <c r="Z40" s="2162" t="s">
        <v>3761</v>
      </c>
      <c r="AA40" s="2163"/>
      <c r="AB40" s="2163"/>
      <c r="AC40" s="1305">
        <f>VLOOKUP("FYA Delay",Data!$A$1227:$G$1244,4,FALSE)</f>
        <v>0</v>
      </c>
      <c r="AD40" s="2173" t="s">
        <v>3764</v>
      </c>
      <c r="AE40" s="2173"/>
      <c r="AF40" s="2173"/>
      <c r="AG40" s="2173"/>
      <c r="AH40" s="1313" t="str">
        <f>VLOOKUP("FYA After Preempt",Data!$A$1227:$G$1244,4,FALSE)</f>
        <v>OFF</v>
      </c>
      <c r="AI40" s="152"/>
      <c r="AJ40" s="152"/>
      <c r="AK40" s="152"/>
      <c r="AL40" s="326"/>
      <c r="AO40" s="119"/>
      <c r="AP40" s="45"/>
      <c r="AQ40" s="45"/>
      <c r="AR40" s="45"/>
      <c r="AS40" s="45"/>
      <c r="AT40" s="45"/>
      <c r="AU40" s="45"/>
      <c r="AV40" s="45"/>
    </row>
    <row r="41" spans="1:48" ht="11.85" customHeight="1" thickBot="1">
      <c r="A41" s="546"/>
      <c r="B41" s="547" t="s">
        <v>241</v>
      </c>
      <c r="C41" s="548"/>
      <c r="D41" s="549"/>
      <c r="E41" s="695">
        <f>VLOOKUP("Conflict Ped 1",Data!$A$1200:$I$1226,9,FALSE)</f>
        <v>0</v>
      </c>
      <c r="F41" s="696">
        <f>VLOOKUP("Conflict Ped 2",Data!$A$1200:$I$1226,9,FALSE)</f>
        <v>0</v>
      </c>
      <c r="G41" s="696">
        <f>VLOOKUP("Conflict Ped 3",Data!$A$1200:$I$1226,9,FALSE)</f>
        <v>0</v>
      </c>
      <c r="H41" s="696">
        <f>VLOOKUP("Conflict Ped 4",Data!$A$1200:$I$1226,9,FALSE)</f>
        <v>0</v>
      </c>
      <c r="I41" s="696">
        <f>VLOOKUP("Conflict Ped 5",Data!$A$1200:$I$1226,9,FALSE)</f>
        <v>0</v>
      </c>
      <c r="J41" s="696">
        <f>VLOOKUP("Conflict Ped 6",Data!$A$1200:$I$1226,9,FALSE)</f>
        <v>0</v>
      </c>
      <c r="K41" s="696">
        <f>VLOOKUP("Conflict Ped 7",Data!$A$1200:$I$1226,9,FALSE)</f>
        <v>0</v>
      </c>
      <c r="L41" s="919">
        <f>VLOOKUP("Conflict Ped 8",Data!$A$1200:$I$1226,9,FALSE)</f>
        <v>0</v>
      </c>
      <c r="M41" s="2176"/>
      <c r="N41" s="2177"/>
      <c r="O41" s="535"/>
      <c r="P41" s="2165" t="s">
        <v>3957</v>
      </c>
      <c r="Q41" s="2166"/>
      <c r="R41" s="2167"/>
      <c r="S41" s="1306" t="s">
        <v>703</v>
      </c>
      <c r="T41" s="2184"/>
      <c r="U41" s="2184"/>
      <c r="V41" s="2184"/>
      <c r="W41" s="2185"/>
      <c r="X41" s="156"/>
      <c r="Y41" s="156"/>
      <c r="Z41" s="2165" t="s">
        <v>3957</v>
      </c>
      <c r="AA41" s="2166"/>
      <c r="AB41" s="2167"/>
      <c r="AC41" s="1306" t="s">
        <v>703</v>
      </c>
      <c r="AD41" s="2184"/>
      <c r="AE41" s="2184"/>
      <c r="AF41" s="2184"/>
      <c r="AG41" s="2184"/>
      <c r="AH41" s="2185"/>
      <c r="AI41" s="152"/>
      <c r="AJ41" s="152"/>
      <c r="AK41" s="152"/>
      <c r="AL41" s="326"/>
      <c r="AO41" s="550"/>
      <c r="AP41" s="45"/>
      <c r="AQ41" s="45"/>
      <c r="AR41" s="45"/>
      <c r="AS41" s="45"/>
      <c r="AT41" s="45"/>
      <c r="AU41" s="45"/>
      <c r="AV41" s="45"/>
    </row>
    <row r="42" spans="1:48" ht="11.85" customHeight="1">
      <c r="A42" s="530" t="s">
        <v>641</v>
      </c>
      <c r="B42" s="527"/>
      <c r="C42" s="527"/>
      <c r="D42" s="527"/>
      <c r="E42" s="531"/>
      <c r="F42" s="527"/>
      <c r="G42" s="527"/>
      <c r="H42" s="527"/>
      <c r="I42" s="532"/>
      <c r="J42" s="156"/>
      <c r="K42" s="156"/>
      <c r="L42" s="156"/>
      <c r="M42" s="156"/>
      <c r="N42" s="156"/>
      <c r="O42" s="156"/>
      <c r="P42" s="2162" t="s">
        <v>3762</v>
      </c>
      <c r="Q42" s="2163"/>
      <c r="R42" s="2188"/>
      <c r="S42" s="1305">
        <f>VLOOKUP("Ped Clear Time",Data!$A$1227:$G$1244,2,FALSE)</f>
        <v>0</v>
      </c>
      <c r="T42" s="2189" t="s">
        <v>3765</v>
      </c>
      <c r="U42" s="2189"/>
      <c r="V42" s="2189"/>
      <c r="W42" s="1314" t="s">
        <v>703</v>
      </c>
      <c r="X42" s="156"/>
      <c r="Y42" s="156"/>
      <c r="Z42" s="2162" t="s">
        <v>3762</v>
      </c>
      <c r="AA42" s="2163"/>
      <c r="AB42" s="2163"/>
      <c r="AC42" s="1305">
        <f>VLOOKUP("Ped Clear Time",Data!$A$1227:$G$1244,4,FALSE)</f>
        <v>0</v>
      </c>
      <c r="AD42" s="2164" t="s">
        <v>3765</v>
      </c>
      <c r="AE42" s="2164"/>
      <c r="AF42" s="2164"/>
      <c r="AG42" s="2164"/>
      <c r="AH42" s="1314" t="s">
        <v>703</v>
      </c>
      <c r="AI42" s="152"/>
      <c r="AJ42" s="152"/>
      <c r="AK42" s="152"/>
      <c r="AL42" s="326"/>
      <c r="AO42" s="119"/>
      <c r="AP42" s="45"/>
      <c r="AQ42" s="45"/>
      <c r="AR42" s="45"/>
      <c r="AS42" s="45"/>
      <c r="AT42" s="45"/>
      <c r="AU42" s="45"/>
      <c r="AV42" s="45"/>
    </row>
    <row r="43" spans="1:48" ht="11.85" customHeight="1" thickBot="1">
      <c r="A43" s="2264" t="s">
        <v>3</v>
      </c>
      <c r="B43" s="2265"/>
      <c r="C43" s="2265"/>
      <c r="D43" s="2265"/>
      <c r="E43" s="2265"/>
      <c r="F43" s="2266"/>
      <c r="G43" s="2259" t="str">
        <f>VLOOKUP("Lock Inhibit",Data!$A:$AU,2,FALSE)</f>
        <v>OFF</v>
      </c>
      <c r="H43" s="2260"/>
      <c r="I43" s="2261"/>
      <c r="J43" s="156"/>
      <c r="K43" s="156"/>
      <c r="L43" s="156"/>
      <c r="M43" s="156"/>
      <c r="N43" s="156"/>
      <c r="O43" s="156"/>
      <c r="P43" s="2168" t="s">
        <v>3763</v>
      </c>
      <c r="Q43" s="2169"/>
      <c r="R43" s="2270"/>
      <c r="S43" s="1307">
        <f>VLOOKUP("GrnExtInh 1",Data!$A$1227:$G$1244,2,FALSE)</f>
        <v>0</v>
      </c>
      <c r="T43" s="1308">
        <f>VLOOKUP("GrnExtInh 2",Data!$A$1227:$G$1244,2,FALSE)</f>
        <v>0</v>
      </c>
      <c r="U43" s="1308">
        <f>VLOOKUP("GrnExtInh 3",Data!$A$1227:$G$1244,2,FALSE)</f>
        <v>0</v>
      </c>
      <c r="V43" s="1308">
        <f>VLOOKUP("GrnExtInh 4",Data!$A$1227:$G$1244,2,FALSE)</f>
        <v>0</v>
      </c>
      <c r="W43" s="1315">
        <f>VLOOKUP("GrnExtInh 5",Data!$A$1227:$G$1244,2,FALSE)</f>
        <v>0</v>
      </c>
      <c r="X43" s="156"/>
      <c r="Y43" s="156"/>
      <c r="Z43" s="2168" t="s">
        <v>3763</v>
      </c>
      <c r="AA43" s="2169"/>
      <c r="AB43" s="2169"/>
      <c r="AC43" s="1307">
        <f>VLOOKUP("GrnExtInh 1",Data!$A$1227:$G$1244,4,FALSE)</f>
        <v>0</v>
      </c>
      <c r="AD43" s="1308">
        <f>VLOOKUP("GrnExtInh 2",Data!$A$1227:$G$1244,4,FALSE)</f>
        <v>0</v>
      </c>
      <c r="AE43" s="1308">
        <f>VLOOKUP("GrnExtInh 3",Data!$A$1227:$G$1244,4,FALSE)</f>
        <v>0</v>
      </c>
      <c r="AF43" s="1308">
        <f>VLOOKUP("GrnExtInh 4",Data!$A$1227:$G$1244,4,FALSE)</f>
        <v>0</v>
      </c>
      <c r="AG43" s="1308">
        <f>VLOOKUP("GrnExtInh 5",Data!$A$1227:$G$1244,4,FALSE)</f>
        <v>0</v>
      </c>
      <c r="AH43" s="1315">
        <f>VLOOKUP("GrnExtInh 6",Data!$A$1227:$G$1244,4,FALSE)</f>
        <v>0</v>
      </c>
      <c r="AI43" s="152"/>
      <c r="AJ43" s="152"/>
      <c r="AK43" s="152"/>
      <c r="AL43" s="326"/>
      <c r="AO43" s="119"/>
      <c r="AP43" s="45"/>
      <c r="AQ43" s="45"/>
      <c r="AR43" s="45"/>
      <c r="AS43" s="45"/>
      <c r="AT43" s="45"/>
      <c r="AU43" s="45"/>
      <c r="AV43" s="45"/>
    </row>
    <row r="44" spans="1:48" ht="11.85" customHeight="1" thickBot="1">
      <c r="A44" s="2264" t="s">
        <v>638</v>
      </c>
      <c r="B44" s="2265"/>
      <c r="C44" s="2265"/>
      <c r="D44" s="2265"/>
      <c r="E44" s="2265"/>
      <c r="F44" s="2266"/>
      <c r="G44" s="2259" t="str">
        <f>VLOOKUP("Conflict Lock",Data!$A:$AU,2,FALSE)</f>
        <v>OFF</v>
      </c>
      <c r="H44" s="2260"/>
      <c r="I44" s="2261"/>
      <c r="J44" s="156"/>
      <c r="K44" s="156"/>
      <c r="L44" s="529"/>
      <c r="M44" s="156"/>
      <c r="N44" s="156"/>
      <c r="O44" s="156"/>
      <c r="P44" s="2274" t="s">
        <v>3972</v>
      </c>
      <c r="Q44" s="2275"/>
      <c r="R44" s="2275"/>
      <c r="S44" s="2275"/>
      <c r="T44" s="2275"/>
      <c r="U44" s="2275"/>
      <c r="V44" s="2275"/>
      <c r="W44" s="2276"/>
      <c r="X44" s="156"/>
      <c r="Y44" s="156"/>
      <c r="Z44" s="2181" t="s">
        <v>3974</v>
      </c>
      <c r="AA44" s="2182"/>
      <c r="AB44" s="2182"/>
      <c r="AC44" s="2182"/>
      <c r="AD44" s="2182"/>
      <c r="AE44" s="2182"/>
      <c r="AF44" s="2182"/>
      <c r="AG44" s="2182"/>
      <c r="AH44" s="2183"/>
      <c r="AI44" s="156"/>
      <c r="AJ44" s="156"/>
      <c r="AK44" s="156"/>
      <c r="AL44" s="326"/>
      <c r="AO44" s="119"/>
      <c r="AP44" s="45"/>
      <c r="AQ44" s="45"/>
      <c r="AR44" s="45"/>
      <c r="AS44" s="45"/>
      <c r="AT44" s="45"/>
      <c r="AU44" s="45"/>
      <c r="AV44" s="45"/>
    </row>
    <row r="45" spans="1:48" ht="11.85" customHeight="1">
      <c r="A45" s="2264" t="s">
        <v>639</v>
      </c>
      <c r="B45" s="2265"/>
      <c r="C45" s="2265"/>
      <c r="D45" s="2265"/>
      <c r="E45" s="2265"/>
      <c r="F45" s="2266"/>
      <c r="G45" s="2259" t="str">
        <f>VLOOKUP("Parent P Clrncs",Data!$A:$AU,2,FALSE)</f>
        <v>ON</v>
      </c>
      <c r="H45" s="2260"/>
      <c r="I45" s="2261"/>
      <c r="J45" s="156"/>
      <c r="K45" s="156"/>
      <c r="L45" s="156"/>
      <c r="M45" s="156"/>
      <c r="N45" s="156"/>
      <c r="O45" s="156"/>
      <c r="P45" s="2170" t="s">
        <v>2382</v>
      </c>
      <c r="Q45" s="2171"/>
      <c r="R45" s="2171"/>
      <c r="S45" s="1304" t="str">
        <f>VLOOKUP("Leading Green",Data!$A$1227:$G$1244,3,FALSE)</f>
        <v>OFF</v>
      </c>
      <c r="T45" s="2172" t="s">
        <v>2372</v>
      </c>
      <c r="U45" s="2172"/>
      <c r="V45" s="2172"/>
      <c r="W45" s="1312" t="str">
        <f>VLOOKUP("FYA MCE Disable",Data!$A$1227:$G$1244,3,FALSE)</f>
        <v>OFF</v>
      </c>
      <c r="X45" s="156"/>
      <c r="Y45" s="156"/>
      <c r="Z45" s="2162" t="s">
        <v>2382</v>
      </c>
      <c r="AA45" s="2163"/>
      <c r="AB45" s="2163"/>
      <c r="AC45" s="1304" t="str">
        <f>VLOOKUP("Leading Green",Data!$A$1227:$G$1244,5,FALSE)</f>
        <v>OFF</v>
      </c>
      <c r="AD45" s="2172" t="s">
        <v>2372</v>
      </c>
      <c r="AE45" s="2172"/>
      <c r="AF45" s="2172"/>
      <c r="AG45" s="2172"/>
      <c r="AH45" s="1312" t="str">
        <f>VLOOKUP("FYA MCE Disable",Data!$A$1227:$G$1244,5,FALSE)</f>
        <v>OFF</v>
      </c>
      <c r="AI45" s="156"/>
      <c r="AJ45" s="156"/>
      <c r="AK45" s="156"/>
      <c r="AL45" s="326"/>
      <c r="AO45" s="119"/>
      <c r="AP45" s="45"/>
      <c r="AQ45" s="45"/>
      <c r="AR45" s="45"/>
      <c r="AS45" s="45"/>
      <c r="AT45" s="45"/>
      <c r="AU45" s="45"/>
      <c r="AV45" s="45"/>
    </row>
    <row r="46" spans="1:48">
      <c r="A46" s="2264" t="s">
        <v>640</v>
      </c>
      <c r="B46" s="2265"/>
      <c r="C46" s="2265"/>
      <c r="D46" s="2265"/>
      <c r="E46" s="2265"/>
      <c r="F46" s="2266"/>
      <c r="G46" s="2259" t="str">
        <f>VLOOKUP("Extra Included Phases",Data!$A:$AU,2,FALSE)</f>
        <v>OFF</v>
      </c>
      <c r="H46" s="2260"/>
      <c r="I46" s="2261"/>
      <c r="J46" s="156"/>
      <c r="K46" s="156"/>
      <c r="L46" s="156"/>
      <c r="M46" s="156"/>
      <c r="N46" s="156"/>
      <c r="O46" s="156"/>
      <c r="P46" s="2162" t="s">
        <v>2384</v>
      </c>
      <c r="Q46" s="2163"/>
      <c r="R46" s="2163"/>
      <c r="S46" s="1305">
        <f>VLOOKUP("Transit Input",Data!$A$1227:$G$1244,3,FALSE)</f>
        <v>0</v>
      </c>
      <c r="T46" s="2173" t="s">
        <v>2373</v>
      </c>
      <c r="U46" s="2173"/>
      <c r="V46" s="2173"/>
      <c r="W46" s="1313" t="str">
        <f>VLOOKUP("FYA Skip Red",Data!$A$1227:$G$1244,3,FALSE)</f>
        <v>OFF</v>
      </c>
      <c r="X46" s="156"/>
      <c r="Y46" s="156"/>
      <c r="Z46" s="2162" t="s">
        <v>2384</v>
      </c>
      <c r="AA46" s="2163"/>
      <c r="AB46" s="2163"/>
      <c r="AC46" s="1305">
        <f>VLOOKUP("Transit Input",Data!$A$1227:$G$1244,5,FALSE)</f>
        <v>0</v>
      </c>
      <c r="AD46" s="2173" t="s">
        <v>2373</v>
      </c>
      <c r="AE46" s="2173"/>
      <c r="AF46" s="2173"/>
      <c r="AG46" s="2173"/>
      <c r="AH46" s="1313" t="str">
        <f>VLOOKUP("FYA Skip Red",Data!$A$1227:$G$1244,5,FALSE)</f>
        <v>OFF</v>
      </c>
      <c r="AI46" s="156"/>
      <c r="AJ46" s="156"/>
      <c r="AK46" s="156"/>
      <c r="AL46" s="326"/>
      <c r="AO46" s="119"/>
      <c r="AP46" s="45"/>
      <c r="AQ46" s="45"/>
      <c r="AR46" s="45"/>
      <c r="AS46" s="45"/>
      <c r="AT46" s="45"/>
      <c r="AU46" s="45"/>
      <c r="AV46" s="45"/>
    </row>
    <row r="47" spans="1:48" ht="11.85" customHeight="1" thickBot="1">
      <c r="A47" s="2271" t="s">
        <v>996</v>
      </c>
      <c r="B47" s="2272"/>
      <c r="C47" s="2272"/>
      <c r="D47" s="2272"/>
      <c r="E47" s="2272"/>
      <c r="F47" s="2273"/>
      <c r="G47" s="2259" t="str">
        <f>VLOOKUP("Inh Lock interval",Data!$A:$AU,2,FALSE)</f>
        <v>Always</v>
      </c>
      <c r="H47" s="2260"/>
      <c r="I47" s="2261"/>
      <c r="J47" s="156"/>
      <c r="K47" s="156"/>
      <c r="L47" s="156"/>
      <c r="M47" s="156"/>
      <c r="N47" s="156"/>
      <c r="O47" s="156"/>
      <c r="P47" s="2162" t="s">
        <v>3761</v>
      </c>
      <c r="Q47" s="2163"/>
      <c r="R47" s="2163"/>
      <c r="S47" s="1305">
        <f>VLOOKUP("FYA Delay",Data!$A$1227:$G$1244,3,FALSE)</f>
        <v>0</v>
      </c>
      <c r="T47" s="2173" t="s">
        <v>3764</v>
      </c>
      <c r="U47" s="2173"/>
      <c r="V47" s="2173"/>
      <c r="W47" s="1313" t="str">
        <f>VLOOKUP("FYA After Preempt",Data!$A$1227:$G$1244,3,FALSE)</f>
        <v>OFF</v>
      </c>
      <c r="X47" s="156"/>
      <c r="Y47" s="156"/>
      <c r="Z47" s="2162" t="s">
        <v>3761</v>
      </c>
      <c r="AA47" s="2163"/>
      <c r="AB47" s="2163"/>
      <c r="AC47" s="1305">
        <f>VLOOKUP("FYA Delay",Data!$A$1227:$G$1244,5,FALSE)</f>
        <v>0</v>
      </c>
      <c r="AD47" s="2173" t="s">
        <v>3764</v>
      </c>
      <c r="AE47" s="2173"/>
      <c r="AF47" s="2173"/>
      <c r="AG47" s="2173"/>
      <c r="AH47" s="1313" t="str">
        <f>VLOOKUP("FYA After Preempt",Data!$A$1227:$G$1244,5,FALSE)</f>
        <v>OFF</v>
      </c>
      <c r="AI47" s="156"/>
      <c r="AJ47" s="156"/>
      <c r="AK47" s="156"/>
      <c r="AL47" s="326"/>
      <c r="AO47" s="119"/>
      <c r="AP47" s="45"/>
      <c r="AQ47" s="45"/>
      <c r="AR47" s="45"/>
      <c r="AS47" s="45"/>
      <c r="AT47" s="45"/>
      <c r="AU47" s="45"/>
      <c r="AV47" s="45"/>
    </row>
    <row r="48" spans="1:48" ht="11.85" customHeight="1">
      <c r="A48" s="2267" t="s">
        <v>261</v>
      </c>
      <c r="B48" s="2268"/>
      <c r="C48" s="2268"/>
      <c r="D48" s="2268"/>
      <c r="E48" s="2268"/>
      <c r="F48" s="2268"/>
      <c r="G48" s="2268"/>
      <c r="H48" s="2268"/>
      <c r="I48" s="2269"/>
      <c r="J48" s="152"/>
      <c r="K48" s="152"/>
      <c r="L48" s="152"/>
      <c r="M48" s="152"/>
      <c r="N48" s="152"/>
      <c r="O48" s="152"/>
      <c r="P48" s="2165" t="s">
        <v>3957</v>
      </c>
      <c r="Q48" s="2166"/>
      <c r="R48" s="2167"/>
      <c r="S48" s="1306" t="s">
        <v>703</v>
      </c>
      <c r="T48" s="2184"/>
      <c r="U48" s="2184"/>
      <c r="V48" s="2184"/>
      <c r="W48" s="2185"/>
      <c r="X48" s="156"/>
      <c r="Y48" s="156"/>
      <c r="Z48" s="2165" t="s">
        <v>3957</v>
      </c>
      <c r="AA48" s="2166"/>
      <c r="AB48" s="2167"/>
      <c r="AC48" s="1306" t="s">
        <v>703</v>
      </c>
      <c r="AD48" s="2184"/>
      <c r="AE48" s="2184"/>
      <c r="AF48" s="2184"/>
      <c r="AG48" s="2184"/>
      <c r="AH48" s="2185"/>
      <c r="AI48" s="152"/>
      <c r="AJ48" s="152"/>
      <c r="AK48" s="152"/>
      <c r="AL48" s="326"/>
      <c r="AO48" s="119"/>
      <c r="AP48" s="45"/>
      <c r="AQ48" s="45"/>
      <c r="AR48" s="45"/>
      <c r="AS48" s="45"/>
      <c r="AT48" s="45"/>
      <c r="AU48" s="45"/>
      <c r="AV48" s="45"/>
    </row>
    <row r="49" spans="1:48" ht="11.85" customHeight="1" thickBot="1">
      <c r="A49" s="2257" t="s">
        <v>262</v>
      </c>
      <c r="B49" s="2258"/>
      <c r="C49" s="2258"/>
      <c r="D49" s="2258"/>
      <c r="E49" s="2258"/>
      <c r="F49" s="2258"/>
      <c r="G49" s="2262" t="str">
        <f>VLOOKUP("Invert Rail Input",Data!$A:$AU,2,FALSE)</f>
        <v>OFF</v>
      </c>
      <c r="H49" s="2262"/>
      <c r="I49" s="2263"/>
      <c r="J49" s="152"/>
      <c r="K49" s="152"/>
      <c r="L49" s="152"/>
      <c r="M49" s="152"/>
      <c r="N49" s="152"/>
      <c r="O49" s="152"/>
      <c r="P49" s="2162" t="s">
        <v>3762</v>
      </c>
      <c r="Q49" s="2163"/>
      <c r="R49" s="2163"/>
      <c r="S49" s="1305">
        <f>VLOOKUP("Ped Clear Time",Data!$A$1227:$G$1244,3,FALSE)</f>
        <v>0</v>
      </c>
      <c r="T49" s="2164" t="s">
        <v>3765</v>
      </c>
      <c r="U49" s="2164"/>
      <c r="V49" s="2164"/>
      <c r="W49" s="1314" t="s">
        <v>703</v>
      </c>
      <c r="X49" s="156"/>
      <c r="Y49" s="156"/>
      <c r="Z49" s="2162" t="s">
        <v>3762</v>
      </c>
      <c r="AA49" s="2163"/>
      <c r="AB49" s="2163"/>
      <c r="AC49" s="1305">
        <f>VLOOKUP("Ped Clear Time",Data!$A$1227:$G$1244,5,FALSE)</f>
        <v>0</v>
      </c>
      <c r="AD49" s="2164" t="s">
        <v>3765</v>
      </c>
      <c r="AE49" s="2164"/>
      <c r="AF49" s="2164"/>
      <c r="AG49" s="2164"/>
      <c r="AH49" s="1314" t="s">
        <v>703</v>
      </c>
      <c r="AI49" s="152"/>
      <c r="AJ49" s="152"/>
      <c r="AK49" s="152"/>
      <c r="AL49" s="326"/>
      <c r="AM49" s="45"/>
      <c r="AN49" s="45"/>
      <c r="AO49" s="119"/>
      <c r="AP49" s="45"/>
      <c r="AQ49" s="45"/>
      <c r="AR49" s="45"/>
      <c r="AS49" s="45"/>
      <c r="AT49" s="45"/>
      <c r="AU49" s="45"/>
      <c r="AV49" s="45"/>
    </row>
    <row r="50" spans="1:48" ht="11.85" customHeight="1" thickBot="1">
      <c r="A50" s="2681" t="s">
        <v>4000</v>
      </c>
      <c r="B50" s="2682"/>
      <c r="C50" s="2682"/>
      <c r="D50" s="2682"/>
      <c r="E50" s="2682"/>
      <c r="F50" s="2682"/>
      <c r="G50" s="2682"/>
      <c r="H50" s="2682"/>
      <c r="I50" s="2682"/>
      <c r="J50" s="2682"/>
      <c r="K50" s="2682"/>
      <c r="L50" s="2682"/>
      <c r="M50" s="152"/>
      <c r="N50" s="152"/>
      <c r="O50" s="152"/>
      <c r="P50" s="2255" t="s">
        <v>3763</v>
      </c>
      <c r="Q50" s="2256"/>
      <c r="R50" s="2256"/>
      <c r="S50" s="1316">
        <f>VLOOKUP("GrnExtInh 1",Data!$A$1227:$G$1244,3,FALSE)</f>
        <v>0</v>
      </c>
      <c r="T50" s="1317">
        <f>VLOOKUP("GrnExtInh 2",Data!$A$1227:$G$1244,3,FALSE)</f>
        <v>0</v>
      </c>
      <c r="U50" s="1317">
        <f>VLOOKUP("GrnExtInh 3",Data!$A$1227:$G$1244,3,FALSE)</f>
        <v>0</v>
      </c>
      <c r="V50" s="1317">
        <f>VLOOKUP("GrnExtInh 4",Data!$A$1227:$G$1244,3,FALSE)</f>
        <v>0</v>
      </c>
      <c r="W50" s="1318">
        <f>VLOOKUP("GrnExtInh 5",Data!$A$1227:$G$1244,3,FALSE)</f>
        <v>0</v>
      </c>
      <c r="X50" s="551"/>
      <c r="Y50" s="551"/>
      <c r="Z50" s="2255" t="s">
        <v>3763</v>
      </c>
      <c r="AA50" s="2256"/>
      <c r="AB50" s="2256"/>
      <c r="AC50" s="1316">
        <f>VLOOKUP("GrnExtInh 1",Data!$A$1227:$G$1244,5,FALSE)</f>
        <v>0</v>
      </c>
      <c r="AD50" s="1317">
        <f>VLOOKUP("GrnExtInh 2",Data!$A$1227:$G$1244,5,FALSE)</f>
        <v>0</v>
      </c>
      <c r="AE50" s="1317">
        <f>VLOOKUP("GrnExtInh 3",Data!$A$1227:$G$1244,5,FALSE)</f>
        <v>0</v>
      </c>
      <c r="AF50" s="1317">
        <f>VLOOKUP("GrnExtInh 4",Data!$A$1227:$G$1244,5,FALSE)</f>
        <v>0</v>
      </c>
      <c r="AG50" s="1317">
        <f>VLOOKUP("GrnExtInh 5",Data!$A$1227:$G$1244,5,FALSE)</f>
        <v>0</v>
      </c>
      <c r="AH50" s="1318">
        <f>VLOOKUP("GrnExtInh 6",Data!$A$1227:$G$1244,5,FALSE)</f>
        <v>0</v>
      </c>
      <c r="AI50" s="152"/>
      <c r="AJ50" s="152"/>
      <c r="AK50" s="152"/>
      <c r="AL50" s="326"/>
      <c r="AO50" s="119"/>
    </row>
    <row r="51" spans="1:48" ht="9" customHeight="1">
      <c r="A51" s="2681"/>
      <c r="B51" s="2682"/>
      <c r="C51" s="2682"/>
      <c r="D51" s="2682"/>
      <c r="E51" s="2682"/>
      <c r="F51" s="2682"/>
      <c r="G51" s="2682"/>
      <c r="H51" s="2682"/>
      <c r="I51" s="2682"/>
      <c r="J51" s="2682"/>
      <c r="K51" s="2682"/>
      <c r="L51" s="2682"/>
      <c r="M51" s="534"/>
      <c r="N51" s="68"/>
      <c r="O51" s="68"/>
      <c r="P51" s="68"/>
      <c r="Q51" s="497"/>
      <c r="R51" s="497"/>
      <c r="S51" s="497"/>
      <c r="T51" s="497"/>
      <c r="U51" s="497"/>
      <c r="V51" s="497"/>
      <c r="W51" s="497"/>
      <c r="X51" s="497"/>
      <c r="Y51" s="66"/>
      <c r="Z51" s="152"/>
      <c r="AA51" s="152"/>
      <c r="AB51" s="152"/>
      <c r="AC51" s="152"/>
      <c r="AD51" s="152"/>
      <c r="AE51" s="152"/>
      <c r="AF51" s="152"/>
      <c r="AG51" s="152"/>
      <c r="AH51" s="152"/>
      <c r="AI51" s="30"/>
      <c r="AJ51" s="30"/>
      <c r="AK51" s="30"/>
      <c r="AL51" s="31"/>
    </row>
    <row r="52" spans="1:48" ht="11.25" customHeight="1">
      <c r="A52" s="2681"/>
      <c r="B52" s="2682"/>
      <c r="C52" s="2682"/>
      <c r="D52" s="2682"/>
      <c r="E52" s="2682"/>
      <c r="F52" s="2682"/>
      <c r="G52" s="2682"/>
      <c r="H52" s="2682"/>
      <c r="I52" s="2682"/>
      <c r="J52" s="2682"/>
      <c r="K52" s="2682"/>
      <c r="L52" s="2682"/>
      <c r="M52" s="66"/>
      <c r="N52" s="66" t="s">
        <v>654</v>
      </c>
      <c r="O52" s="66"/>
      <c r="P52" s="935">
        <f>Data!B118</f>
        <v>0</v>
      </c>
      <c r="R52" s="68" t="s">
        <v>658</v>
      </c>
      <c r="S52" s="67"/>
      <c r="T52" s="936" t="str">
        <f>Data!B124</f>
        <v>Alpha @ Beta</v>
      </c>
      <c r="U52" s="937"/>
      <c r="V52" s="156"/>
      <c r="W52" s="156"/>
      <c r="X52" s="30"/>
      <c r="Y52" s="30"/>
      <c r="Z52" s="30"/>
      <c r="AA52" s="30"/>
      <c r="AB52" s="30"/>
      <c r="AC52" s="30"/>
      <c r="AD52" s="67" t="s">
        <v>209</v>
      </c>
      <c r="AE52" s="30"/>
      <c r="AF52" s="30"/>
      <c r="AG52" s="30"/>
      <c r="AH52" s="30"/>
      <c r="AI52" s="30"/>
      <c r="AJ52" s="2242" t="s">
        <v>3960</v>
      </c>
      <c r="AK52" s="2242"/>
      <c r="AL52" s="2243"/>
    </row>
    <row r="53" spans="1:48" ht="11.25" customHeight="1" thickBot="1">
      <c r="A53" s="2683"/>
      <c r="B53" s="2684"/>
      <c r="C53" s="2684"/>
      <c r="D53" s="2684"/>
      <c r="E53" s="2684"/>
      <c r="F53" s="2684"/>
      <c r="G53" s="2684"/>
      <c r="H53" s="2684"/>
      <c r="I53" s="2684"/>
      <c r="J53" s="2684"/>
      <c r="K53" s="2684"/>
      <c r="L53" s="2684"/>
      <c r="M53" s="157"/>
      <c r="N53" s="157"/>
      <c r="O53" s="157"/>
      <c r="P53" s="157"/>
      <c r="Q53" s="533"/>
      <c r="R53" s="533"/>
      <c r="S53" s="2246"/>
      <c r="T53" s="2246"/>
      <c r="U53" s="69"/>
      <c r="V53" s="70"/>
      <c r="W53" s="70"/>
      <c r="X53" s="70"/>
      <c r="Y53" s="70"/>
      <c r="Z53" s="70"/>
      <c r="AA53" s="70"/>
      <c r="AB53" s="70"/>
      <c r="AC53" s="70"/>
      <c r="AD53" s="2246">
        <f ca="1">TODAY()</f>
        <v>45364</v>
      </c>
      <c r="AE53" s="2246"/>
      <c r="AF53" s="70"/>
      <c r="AG53" s="70"/>
      <c r="AH53" s="70"/>
      <c r="AI53" s="70"/>
      <c r="AJ53" s="2244"/>
      <c r="AK53" s="2244"/>
      <c r="AL53" s="2245"/>
    </row>
    <row r="54" spans="1:48" ht="9" customHeight="1"/>
    <row r="55" spans="1:48" ht="9" customHeight="1"/>
    <row r="56" spans="1:48" ht="9" customHeight="1"/>
    <row r="57" spans="1:48" ht="9" customHeight="1"/>
    <row r="58" spans="1:48" ht="9" customHeight="1"/>
    <row r="59" spans="1:48" ht="9" customHeight="1"/>
    <row r="60" spans="1:48" ht="9" customHeight="1"/>
    <row r="61" spans="1:48" ht="9" customHeight="1"/>
    <row r="62" spans="1:48" ht="9" customHeight="1"/>
    <row r="63" spans="1:48" ht="9" customHeight="1"/>
    <row r="64" spans="1:48" ht="9.9" customHeight="1"/>
  </sheetData>
  <sheetProtection selectLockedCells="1" selectUnlockedCells="1"/>
  <mergeCells count="132">
    <mergeCell ref="A50:L53"/>
    <mergeCell ref="AD49:AG49"/>
    <mergeCell ref="Z50:AB50"/>
    <mergeCell ref="A49:F49"/>
    <mergeCell ref="G45:I45"/>
    <mergeCell ref="G46:I46"/>
    <mergeCell ref="G47:I47"/>
    <mergeCell ref="G49:I49"/>
    <mergeCell ref="G43:I43"/>
    <mergeCell ref="P46:R46"/>
    <mergeCell ref="P47:R47"/>
    <mergeCell ref="A44:F44"/>
    <mergeCell ref="G44:I44"/>
    <mergeCell ref="A48:I48"/>
    <mergeCell ref="P43:R43"/>
    <mergeCell ref="A43:F43"/>
    <mergeCell ref="A45:F45"/>
    <mergeCell ref="A46:F46"/>
    <mergeCell ref="A47:F47"/>
    <mergeCell ref="P44:W44"/>
    <mergeCell ref="P50:R50"/>
    <mergeCell ref="Z47:AB47"/>
    <mergeCell ref="T48:W48"/>
    <mergeCell ref="AD48:AH48"/>
    <mergeCell ref="P48:R48"/>
    <mergeCell ref="Z15:AD15"/>
    <mergeCell ref="Z25:Z26"/>
    <mergeCell ref="M16:N16"/>
    <mergeCell ref="M21:N21"/>
    <mergeCell ref="M26:N26"/>
    <mergeCell ref="AJ52:AL53"/>
    <mergeCell ref="S53:T53"/>
    <mergeCell ref="AG16:AJ16"/>
    <mergeCell ref="AA26:AB26"/>
    <mergeCell ref="Z33:Z34"/>
    <mergeCell ref="AA34:AB34"/>
    <mergeCell ref="Z35:Z36"/>
    <mergeCell ref="AA36:AB36"/>
    <mergeCell ref="AA16:AD16"/>
    <mergeCell ref="T21:T26"/>
    <mergeCell ref="AA28:AB28"/>
    <mergeCell ref="Z29:Z30"/>
    <mergeCell ref="AA30:AB30"/>
    <mergeCell ref="Z31:Z32"/>
    <mergeCell ref="AD53:AE53"/>
    <mergeCell ref="AD38:AG38"/>
    <mergeCell ref="AD39:AG39"/>
    <mergeCell ref="AD40:AG40"/>
    <mergeCell ref="AA32:AB32"/>
    <mergeCell ref="Z7:Z8"/>
    <mergeCell ref="Z9:Z10"/>
    <mergeCell ref="Z11:Z12"/>
    <mergeCell ref="M12:N12"/>
    <mergeCell ref="Z13:Z14"/>
    <mergeCell ref="AA2:AB2"/>
    <mergeCell ref="Z3:Z4"/>
    <mergeCell ref="Z5:Z6"/>
    <mergeCell ref="AA4:AB4"/>
    <mergeCell ref="AA3:AB3"/>
    <mergeCell ref="AA5:AB5"/>
    <mergeCell ref="AA7:AB7"/>
    <mergeCell ref="AA14:AB14"/>
    <mergeCell ref="AA9:AB9"/>
    <mergeCell ref="AA11:AB11"/>
    <mergeCell ref="AA13:AB13"/>
    <mergeCell ref="AA6:AB6"/>
    <mergeCell ref="AA8:AB8"/>
    <mergeCell ref="AA10:AB10"/>
    <mergeCell ref="AA12:AB12"/>
    <mergeCell ref="M6:N6"/>
    <mergeCell ref="M11:N11"/>
    <mergeCell ref="Z27:Z28"/>
    <mergeCell ref="P1:X1"/>
    <mergeCell ref="M2:N2"/>
    <mergeCell ref="M32:N32"/>
    <mergeCell ref="V21:V26"/>
    <mergeCell ref="M22:N22"/>
    <mergeCell ref="M17:N17"/>
    <mergeCell ref="P18:X18"/>
    <mergeCell ref="P19:P20"/>
    <mergeCell ref="Q19:Q20"/>
    <mergeCell ref="R19:S20"/>
    <mergeCell ref="T19:U20"/>
    <mergeCell ref="V19:W20"/>
    <mergeCell ref="X19:X20"/>
    <mergeCell ref="M7:N7"/>
    <mergeCell ref="M27:N27"/>
    <mergeCell ref="P28:P29"/>
    <mergeCell ref="Q28:Q29"/>
    <mergeCell ref="R28:R29"/>
    <mergeCell ref="S28:S29"/>
    <mergeCell ref="T28:T29"/>
    <mergeCell ref="U28:U29"/>
    <mergeCell ref="V27:X35"/>
    <mergeCell ref="R21:R26"/>
    <mergeCell ref="AD45:AG45"/>
    <mergeCell ref="AD46:AG46"/>
    <mergeCell ref="AD47:AG47"/>
    <mergeCell ref="M37:N37"/>
    <mergeCell ref="P38:R38"/>
    <mergeCell ref="T38:V38"/>
    <mergeCell ref="T39:V39"/>
    <mergeCell ref="T40:V40"/>
    <mergeCell ref="T42:V42"/>
    <mergeCell ref="P39:R39"/>
    <mergeCell ref="P40:R40"/>
    <mergeCell ref="P41:R41"/>
    <mergeCell ref="P42:R42"/>
    <mergeCell ref="M31:N31"/>
    <mergeCell ref="M36:N36"/>
    <mergeCell ref="M41:N41"/>
    <mergeCell ref="Z38:AB38"/>
    <mergeCell ref="Z37:AH37"/>
    <mergeCell ref="Z44:AH44"/>
    <mergeCell ref="T41:W41"/>
    <mergeCell ref="AD41:AH41"/>
    <mergeCell ref="AD42:AG42"/>
    <mergeCell ref="P49:R49"/>
    <mergeCell ref="T49:V49"/>
    <mergeCell ref="Z39:AB39"/>
    <mergeCell ref="Z40:AB40"/>
    <mergeCell ref="Z41:AB41"/>
    <mergeCell ref="Z42:AB42"/>
    <mergeCell ref="Z43:AB43"/>
    <mergeCell ref="Z45:AB45"/>
    <mergeCell ref="Z48:AB48"/>
    <mergeCell ref="Z49:AB49"/>
    <mergeCell ref="P45:R45"/>
    <mergeCell ref="T45:V45"/>
    <mergeCell ref="Z46:AB46"/>
    <mergeCell ref="T46:V46"/>
    <mergeCell ref="T47:V47"/>
  </mergeCells>
  <conditionalFormatting sqref="P24:P25 P18 P33:P34 X2 P1 P6:P7 Z11 Z9 A1 B2:D41 AF20:AF21 AG16 AF15 Z20:Z21 Z15 E2:L3 P14:P15 Z1 AC3:AL3 AC5:AL5 AC7:AL7 AC9:AL9 AC11:AL11 AC13:AL13 AA17:AD22 AG17:AJ22 Q30:U35 Q2:U8 Q10:X16 W21:X26 E7:L8 E12:L13 E17:L18 E22:L23 E27:L28 E32:L33 E37:L38 Q21:Q26 S21:S26 U21:U26 M2:M41 N2:N5 N7:N10 N12:N15 N17:N20 N22:N25 N27:N30 N32:N35 N37:N40">
    <cfRule type="cellIs" dxfId="44" priority="38" stopIfTrue="1" operator="equal">
      <formula>0</formula>
    </cfRule>
  </conditionalFormatting>
  <conditionalFormatting sqref="AC4:AL4 AC25:AL36 E4:L6 AC6:AL6 AC8:AL8 AC10:AL10 AC12:AL12 AC14:AL14 E9:L11 E14:L16 E19:L21 E24:L26 E29:L31 E34:L36 E39:L41">
    <cfRule type="cellIs" dxfId="43" priority="37" stopIfTrue="1" operator="equal">
      <formula>0</formula>
    </cfRule>
  </conditionalFormatting>
  <conditionalFormatting sqref="S38:S43 T43:W43">
    <cfRule type="cellIs" dxfId="42" priority="31" stopIfTrue="1" operator="equal">
      <formula>0</formula>
    </cfRule>
  </conditionalFormatting>
  <conditionalFormatting sqref="W38:W40 W42">
    <cfRule type="cellIs" dxfId="41" priority="30" stopIfTrue="1" operator="equal">
      <formula>0</formula>
    </cfRule>
  </conditionalFormatting>
  <conditionalFormatting sqref="S45:S50">
    <cfRule type="cellIs" dxfId="40" priority="29" stopIfTrue="1" operator="equal">
      <formula>0</formula>
    </cfRule>
  </conditionalFormatting>
  <conditionalFormatting sqref="T50:W50">
    <cfRule type="cellIs" dxfId="39" priority="28" stopIfTrue="1" operator="equal">
      <formula>0</formula>
    </cfRule>
  </conditionalFormatting>
  <conditionalFormatting sqref="W45:W47 W49">
    <cfRule type="cellIs" dxfId="38" priority="27" stopIfTrue="1" operator="equal">
      <formula>0</formula>
    </cfRule>
  </conditionalFormatting>
  <conditionalFormatting sqref="AC38:AC43">
    <cfRule type="cellIs" dxfId="37" priority="26" stopIfTrue="1" operator="equal">
      <formula>0</formula>
    </cfRule>
  </conditionalFormatting>
  <conditionalFormatting sqref="AC45:AC50">
    <cfRule type="cellIs" dxfId="36" priority="25" stopIfTrue="1" operator="equal">
      <formula>0</formula>
    </cfRule>
  </conditionalFormatting>
  <conditionalFormatting sqref="AH38:AH40">
    <cfRule type="cellIs" dxfId="35" priority="24" stopIfTrue="1" operator="equal">
      <formula>0</formula>
    </cfRule>
  </conditionalFormatting>
  <conditionalFormatting sqref="AH45:AH47">
    <cfRule type="cellIs" dxfId="34" priority="23" stopIfTrue="1" operator="equal">
      <formula>0</formula>
    </cfRule>
  </conditionalFormatting>
  <conditionalFormatting sqref="AD43:AG43">
    <cfRule type="cellIs" dxfId="33" priority="22" stopIfTrue="1" operator="equal">
      <formula>0</formula>
    </cfRule>
  </conditionalFormatting>
  <conditionalFormatting sqref="AD50:AG50">
    <cfRule type="cellIs" dxfId="32" priority="21" stopIfTrue="1" operator="equal">
      <formula>0</formula>
    </cfRule>
  </conditionalFormatting>
  <conditionalFormatting sqref="AH50">
    <cfRule type="cellIs" dxfId="31" priority="19" stopIfTrue="1" operator="equal">
      <formula>0</formula>
    </cfRule>
  </conditionalFormatting>
  <conditionalFormatting sqref="AH43">
    <cfRule type="cellIs" dxfId="30" priority="20" stopIfTrue="1" operator="equal">
      <formula>0</formula>
    </cfRule>
  </conditionalFormatting>
  <conditionalFormatting sqref="A48:A49">
    <cfRule type="cellIs" dxfId="29" priority="18" stopIfTrue="1" operator="equal">
      <formula>0</formula>
    </cfRule>
  </conditionalFormatting>
  <conditionalFormatting sqref="S48">
    <cfRule type="cellIs" dxfId="28" priority="17" stopIfTrue="1" operator="equal">
      <formula>0</formula>
    </cfRule>
  </conditionalFormatting>
  <conditionalFormatting sqref="AC48">
    <cfRule type="cellIs" dxfId="27" priority="16" stopIfTrue="1" operator="equal">
      <formula>0</formula>
    </cfRule>
  </conditionalFormatting>
  <conditionalFormatting sqref="AC41">
    <cfRule type="cellIs" dxfId="26" priority="15" stopIfTrue="1" operator="equal">
      <formula>0</formula>
    </cfRule>
  </conditionalFormatting>
  <conditionalFormatting sqref="S41">
    <cfRule type="cellIs" dxfId="25" priority="14" stopIfTrue="1" operator="equal">
      <formula>0</formula>
    </cfRule>
  </conditionalFormatting>
  <conditionalFormatting sqref="S41">
    <cfRule type="cellIs" dxfId="24" priority="13" stopIfTrue="1" operator="equal">
      <formula>0</formula>
    </cfRule>
  </conditionalFormatting>
  <conditionalFormatting sqref="AC41">
    <cfRule type="cellIs" dxfId="23" priority="12" stopIfTrue="1" operator="equal">
      <formula>0</formula>
    </cfRule>
  </conditionalFormatting>
  <conditionalFormatting sqref="AC41">
    <cfRule type="cellIs" dxfId="22" priority="11" stopIfTrue="1" operator="equal">
      <formula>0</formula>
    </cfRule>
  </conditionalFormatting>
  <conditionalFormatting sqref="AC48">
    <cfRule type="cellIs" dxfId="21" priority="10" stopIfTrue="1" operator="equal">
      <formula>0</formula>
    </cfRule>
  </conditionalFormatting>
  <conditionalFormatting sqref="AC48">
    <cfRule type="cellIs" dxfId="20" priority="9" stopIfTrue="1" operator="equal">
      <formula>0</formula>
    </cfRule>
  </conditionalFormatting>
  <conditionalFormatting sqref="AH49">
    <cfRule type="cellIs" dxfId="19" priority="8" stopIfTrue="1" operator="equal">
      <formula>0</formula>
    </cfRule>
  </conditionalFormatting>
  <conditionalFormatting sqref="AH49">
    <cfRule type="cellIs" dxfId="18" priority="7" stopIfTrue="1" operator="equal">
      <formula>0</formula>
    </cfRule>
  </conditionalFormatting>
  <conditionalFormatting sqref="AH42">
    <cfRule type="cellIs" dxfId="17" priority="6" stopIfTrue="1" operator="equal">
      <formula>0</formula>
    </cfRule>
  </conditionalFormatting>
  <conditionalFormatting sqref="AH42">
    <cfRule type="cellIs" dxfId="16" priority="5" stopIfTrue="1" operator="equal">
      <formula>0</formula>
    </cfRule>
  </conditionalFormatting>
  <conditionalFormatting sqref="W42">
    <cfRule type="cellIs" dxfId="15" priority="4" stopIfTrue="1" operator="equal">
      <formula>0</formula>
    </cfRule>
  </conditionalFormatting>
  <conditionalFormatting sqref="W42">
    <cfRule type="cellIs" dxfId="14" priority="3" stopIfTrue="1" operator="equal">
      <formula>0</formula>
    </cfRule>
  </conditionalFormatting>
  <conditionalFormatting sqref="W49">
    <cfRule type="cellIs" dxfId="13" priority="2" stopIfTrue="1" operator="equal">
      <formula>0</formula>
    </cfRule>
  </conditionalFormatting>
  <conditionalFormatting sqref="W49">
    <cfRule type="cellIs" dxfId="12" priority="1" stopIfTrue="1" operator="equal">
      <formula>0</formula>
    </cfRule>
  </conditionalFormatting>
  <printOptions horizontalCentered="1" verticalCentered="1"/>
  <pageMargins left="0.12" right="0.12" top="0.12" bottom="0.12" header="0" footer="0"/>
  <pageSetup scale="90" orientation="landscape" horizontalDpi="525" verticalDpi="52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42"/>
  </sheetPr>
  <dimension ref="A1:AD46"/>
  <sheetViews>
    <sheetView zoomScale="120" workbookViewId="0">
      <selection activeCell="AJ20" sqref="AJ20"/>
    </sheetView>
  </sheetViews>
  <sheetFormatPr defaultRowHeight="13.2"/>
  <cols>
    <col min="1" max="1" width="5.5546875" customWidth="1"/>
    <col min="2" max="46" width="3.6640625" customWidth="1"/>
  </cols>
  <sheetData>
    <row r="1" spans="1:30" ht="14.4" thickBot="1">
      <c r="A1" s="2320" t="s">
        <v>263</v>
      </c>
      <c r="B1" s="2321"/>
      <c r="C1" s="2321"/>
      <c r="D1" s="2321"/>
      <c r="E1" s="2321"/>
      <c r="F1" s="2321"/>
      <c r="G1" s="2321"/>
      <c r="H1" s="2321"/>
      <c r="I1" s="2321"/>
      <c r="J1" s="2321"/>
      <c r="K1" s="2321"/>
      <c r="L1" s="2321"/>
      <c r="M1" s="2321"/>
      <c r="N1" s="2321"/>
      <c r="O1" s="2321"/>
      <c r="P1" s="2321"/>
      <c r="Q1" s="2321"/>
      <c r="R1" s="2321"/>
      <c r="S1" s="2321"/>
      <c r="T1" s="2321"/>
      <c r="U1" s="2321"/>
      <c r="V1" s="2321"/>
      <c r="W1" s="2321"/>
      <c r="X1" s="2321"/>
      <c r="Y1" s="2321"/>
      <c r="Z1" s="2321"/>
      <c r="AA1" s="2321"/>
      <c r="AB1" s="2321"/>
      <c r="AC1" s="2322"/>
    </row>
    <row r="2" spans="1:30" ht="13.8" thickBot="1">
      <c r="A2" s="2356" t="s">
        <v>264</v>
      </c>
      <c r="B2" s="2357"/>
      <c r="C2" s="2357"/>
      <c r="D2" s="2357"/>
      <c r="E2" s="2358"/>
      <c r="F2" s="2358"/>
      <c r="G2" s="2358"/>
      <c r="H2" s="2358"/>
      <c r="I2" s="2358"/>
      <c r="J2" s="2358"/>
      <c r="K2" s="2358"/>
      <c r="L2" s="2358"/>
      <c r="M2" s="2358"/>
      <c r="N2" s="2358"/>
      <c r="O2" s="2358"/>
      <c r="P2" s="2358"/>
      <c r="Q2" s="2358"/>
      <c r="R2" s="2358"/>
      <c r="S2" s="2358"/>
      <c r="T2" s="2359"/>
      <c r="U2" s="2360" t="s">
        <v>265</v>
      </c>
      <c r="V2" s="2358"/>
      <c r="W2" s="2358"/>
      <c r="X2" s="2358"/>
      <c r="Y2" s="2358"/>
      <c r="Z2" s="2358"/>
      <c r="AA2" s="2358"/>
      <c r="AB2" s="2359"/>
      <c r="AC2" s="65"/>
    </row>
    <row r="3" spans="1:30" ht="13.8" thickBot="1">
      <c r="A3" s="2361" t="s">
        <v>184</v>
      </c>
      <c r="B3" s="1478"/>
      <c r="C3" s="1478"/>
      <c r="D3" s="2362"/>
      <c r="E3" s="987">
        <v>1</v>
      </c>
      <c r="F3" s="145">
        <v>2</v>
      </c>
      <c r="G3" s="145">
        <v>3</v>
      </c>
      <c r="H3" s="145">
        <v>4</v>
      </c>
      <c r="I3" s="145">
        <v>5</v>
      </c>
      <c r="J3" s="145">
        <v>6</v>
      </c>
      <c r="K3" s="145">
        <v>7</v>
      </c>
      <c r="L3" s="192">
        <v>8</v>
      </c>
      <c r="M3" s="988">
        <v>9</v>
      </c>
      <c r="N3" s="145">
        <v>10</v>
      </c>
      <c r="O3" s="145">
        <v>11</v>
      </c>
      <c r="P3" s="146">
        <v>12</v>
      </c>
      <c r="Q3" s="987">
        <v>13</v>
      </c>
      <c r="R3" s="145">
        <v>14</v>
      </c>
      <c r="S3" s="145">
        <v>15</v>
      </c>
      <c r="T3" s="146">
        <v>16</v>
      </c>
      <c r="U3" s="83">
        <v>17</v>
      </c>
      <c r="V3" s="920">
        <v>18</v>
      </c>
      <c r="W3" s="920">
        <v>19</v>
      </c>
      <c r="X3" s="920">
        <v>20</v>
      </c>
      <c r="Y3" s="920">
        <v>21</v>
      </c>
      <c r="Z3" s="920">
        <v>22</v>
      </c>
      <c r="AA3" s="920">
        <v>23</v>
      </c>
      <c r="AB3" s="921">
        <v>24</v>
      </c>
      <c r="AC3" s="31"/>
    </row>
    <row r="4" spans="1:30" ht="13.8" thickTop="1">
      <c r="A4" s="2363" t="s">
        <v>266</v>
      </c>
      <c r="B4" s="2364"/>
      <c r="C4" s="2364"/>
      <c r="D4" s="2365"/>
      <c r="E4" s="989">
        <f>VLOOKUP("PH/OLP #",Data!$A:$Y,2,FALSE)</f>
        <v>1</v>
      </c>
      <c r="F4" s="990">
        <f>VLOOKUP("PH/OLP #",Data!$A:$Y,3,FALSE)</f>
        <v>2</v>
      </c>
      <c r="G4" s="990">
        <f>VLOOKUP("PH/OLP #",Data!$A:$Y,4,FALSE)</f>
        <v>3</v>
      </c>
      <c r="H4" s="990">
        <f>VLOOKUP("PH/OLP #",Data!$A:$Y,5,FALSE)</f>
        <v>4</v>
      </c>
      <c r="I4" s="990">
        <f>VLOOKUP("PH/OLP #",Data!$A:$Y,6,FALSE)</f>
        <v>5</v>
      </c>
      <c r="J4" s="990">
        <f>VLOOKUP("PH/OLP #",Data!$A:$Y,7,FALSE)</f>
        <v>6</v>
      </c>
      <c r="K4" s="990">
        <f>VLOOKUP("PH/OLP #",Data!$A:$Y,8,FALSE)</f>
        <v>7</v>
      </c>
      <c r="L4" s="991">
        <f>VLOOKUP("PH/OLP #",Data!$A:$Y,9,FALSE)</f>
        <v>8</v>
      </c>
      <c r="M4" s="997">
        <f>VLOOKUP("PH/OLP #",Data!$A:$Y,10,FALSE)</f>
        <v>1</v>
      </c>
      <c r="N4" s="998">
        <f>VLOOKUP("PH/OLP #",Data!$A:$Y,11,FALSE)</f>
        <v>2</v>
      </c>
      <c r="O4" s="998">
        <f>VLOOKUP("PH/OLP #",Data!$A:$Y,12,FALSE)</f>
        <v>3</v>
      </c>
      <c r="P4" s="999">
        <f>VLOOKUP("PH/OLP #",Data!$A:$Y,13,FALSE)</f>
        <v>4</v>
      </c>
      <c r="Q4" s="989">
        <f>VLOOKUP("PH/OLP #",Data!$A:$Y,14,FALSE)</f>
        <v>2</v>
      </c>
      <c r="R4" s="990">
        <f>VLOOKUP("PH/OLP #",Data!$A:$Y,15,FALSE)</f>
        <v>4</v>
      </c>
      <c r="S4" s="990">
        <f>VLOOKUP("PH/OLP #",Data!$A:$Y,16,FALSE)</f>
        <v>6</v>
      </c>
      <c r="T4" s="993">
        <f>VLOOKUP("PH/OLP #",Data!$A:$Y,17,FALSE)</f>
        <v>8</v>
      </c>
      <c r="U4" s="992">
        <f>VLOOKUP("PH/OLP #",Data!$A:$Y,18,FALSE)</f>
        <v>0</v>
      </c>
      <c r="V4" s="989">
        <f>VLOOKUP("PH/OLP #",Data!$A:$Y,19,FALSE)</f>
        <v>0</v>
      </c>
      <c r="W4" s="990">
        <f>VLOOKUP("PH/OLP #",Data!$A:$Y,20,FALSE)</f>
        <v>0</v>
      </c>
      <c r="X4" s="990">
        <f>VLOOKUP("PH/OLP #",Data!$A:$Y,21,FALSE)</f>
        <v>0</v>
      </c>
      <c r="Y4" s="990">
        <f>VLOOKUP("PH/OLP #",Data!$A:$Y,22,FALSE)</f>
        <v>0</v>
      </c>
      <c r="Z4" s="990">
        <f>VLOOKUP("PH/OLP #",Data!$A:$Y,23,FALSE)</f>
        <v>0</v>
      </c>
      <c r="AA4" s="990">
        <f>VLOOKUP("PH/OLP #",Data!$A:$Y,24,FALSE)</f>
        <v>0</v>
      </c>
      <c r="AB4" s="993">
        <f>VLOOKUP("PH/OLP #",Data!$A:$Y,25,FALSE)</f>
        <v>0</v>
      </c>
      <c r="AC4" s="31"/>
      <c r="AD4" s="79"/>
    </row>
    <row r="5" spans="1:30">
      <c r="A5" s="2353" t="s">
        <v>267</v>
      </c>
      <c r="B5" s="2354"/>
      <c r="C5" s="2354"/>
      <c r="D5" s="2355"/>
      <c r="E5" s="830" t="str">
        <f>VLOOKUP("Type",Data!$A$468:$Y$468,2,FALSE)</f>
        <v>VEH</v>
      </c>
      <c r="F5" s="830" t="str">
        <f>VLOOKUP("Type",Data!$A$468:$Y$468,3,FALSE)</f>
        <v>VEH</v>
      </c>
      <c r="G5" s="830" t="str">
        <f>VLOOKUP("Type",Data!$A$468:$Y$468,4,FALSE)</f>
        <v>VEH</v>
      </c>
      <c r="H5" s="830" t="str">
        <f>VLOOKUP("Type",Data!$A$468:$Y$468,5,FALSE)</f>
        <v>VEH</v>
      </c>
      <c r="I5" s="830" t="str">
        <f>VLOOKUP("Type",Data!$A$468:$Y$468,6,FALSE)</f>
        <v>VEH</v>
      </c>
      <c r="J5" s="830" t="str">
        <f>VLOOKUP("Type",Data!$A$468:$Y$468,7,FALSE)</f>
        <v>VEH</v>
      </c>
      <c r="K5" s="830" t="str">
        <f>VLOOKUP("Type",Data!$A$468:$Y$468,8,FALSE)</f>
        <v>VEH</v>
      </c>
      <c r="L5" s="941" t="str">
        <f>VLOOKUP("Type",Data!$A$468:$Y$468,9,FALSE)</f>
        <v>VEH</v>
      </c>
      <c r="M5" s="942" t="str">
        <f>VLOOKUP("Type",Data!$A$468:$Y$468,10,FALSE)</f>
        <v>OLP</v>
      </c>
      <c r="N5" s="830" t="str">
        <f>VLOOKUP("Type",Data!$A$468:$Y$468,11,FALSE)</f>
        <v>OLP</v>
      </c>
      <c r="O5" s="830" t="str">
        <f>VLOOKUP("Type",Data!$A$468:$Y$468,12,FALSE)</f>
        <v>OLP</v>
      </c>
      <c r="P5" s="943" t="str">
        <f>VLOOKUP("Type",Data!$A$468:$Y$468,13,FALSE)</f>
        <v>OLP</v>
      </c>
      <c r="Q5" s="830" t="str">
        <f>VLOOKUP("Type",Data!$A$468:$Y$468,14,FALSE)</f>
        <v>PED</v>
      </c>
      <c r="R5" s="830" t="str">
        <f>VLOOKUP("Type",Data!$A$468:$Y$468,15,FALSE)</f>
        <v>PED</v>
      </c>
      <c r="S5" s="830" t="str">
        <f>VLOOKUP("Type",Data!$A$468:$Y$468,16,FALSE)</f>
        <v>PED</v>
      </c>
      <c r="T5" s="943" t="str">
        <f>VLOOKUP("Type",Data!$A$468:$Y$468,17,FALSE)</f>
        <v>PED</v>
      </c>
      <c r="U5" s="942" t="str">
        <f>VLOOKUP("Type",Data!$A$468:$Y$468,18,FALSE)</f>
        <v>VEH</v>
      </c>
      <c r="V5" s="830" t="str">
        <f>VLOOKUP("Type",Data!$A$468:$Y$468,19,FALSE)</f>
        <v>VEH</v>
      </c>
      <c r="W5" s="830" t="str">
        <f>VLOOKUP("Type",Data!$A$468:$Y$468,20,FALSE)</f>
        <v>VEH</v>
      </c>
      <c r="X5" s="830" t="str">
        <f>VLOOKUP("Type",Data!$A$468:$Y$468,21,FALSE)</f>
        <v>VEH</v>
      </c>
      <c r="Y5" s="830" t="str">
        <f>VLOOKUP("Type",Data!$A$468:$Y$468,22,FALSE)</f>
        <v>VEH</v>
      </c>
      <c r="Z5" s="830" t="str">
        <f>VLOOKUP("Type",Data!$A$468:$Y$468,23,FALSE)</f>
        <v>VEH</v>
      </c>
      <c r="AA5" s="830" t="str">
        <f>VLOOKUP("Type",Data!$A$468:$Y$468,24,FALSE)</f>
        <v>VEH</v>
      </c>
      <c r="AB5" s="943" t="str">
        <f>VLOOKUP("Type",Data!$A$468:$Y$468,25,FALSE)</f>
        <v>VEH</v>
      </c>
      <c r="AC5" s="31"/>
    </row>
    <row r="6" spans="1:30" ht="13.8" thickBot="1">
      <c r="A6" s="2366" t="s">
        <v>268</v>
      </c>
      <c r="B6" s="2367"/>
      <c r="C6" s="2367"/>
      <c r="D6" s="2368"/>
      <c r="E6" s="831" t="str">
        <f>VLOOKUP("Flash",Data!$A:$Y,2,FALSE)</f>
        <v>RED</v>
      </c>
      <c r="F6" s="832" t="str">
        <f>VLOOKUP("Flash",Data!$A:$Y,3,FALSE)</f>
        <v>RED</v>
      </c>
      <c r="G6" s="832" t="str">
        <f>VLOOKUP("Flash",Data!$A:$Y,4,FALSE)</f>
        <v>RED</v>
      </c>
      <c r="H6" s="832" t="str">
        <f>VLOOKUP("Flash",Data!$A:$Y,5,FALSE)</f>
        <v>RED</v>
      </c>
      <c r="I6" s="832" t="str">
        <f>VLOOKUP("Flash",Data!$A:$Y,6,FALSE)</f>
        <v>RED</v>
      </c>
      <c r="J6" s="832" t="str">
        <f>VLOOKUP("Flash",Data!$A:$Y,7,FALSE)</f>
        <v>RED</v>
      </c>
      <c r="K6" s="832" t="str">
        <f>VLOOKUP("Flash",Data!$A:$Y,8,FALSE)</f>
        <v>RED</v>
      </c>
      <c r="L6" s="833" t="str">
        <f>VLOOKUP("Flash",Data!$A:$Y,9,FALSE)</f>
        <v>RED</v>
      </c>
      <c r="M6" s="831" t="str">
        <f>VLOOKUP("Flash",Data!$A:$Y,10,FALSE)</f>
        <v>RED</v>
      </c>
      <c r="N6" s="832" t="str">
        <f>VLOOKUP("Flash",Data!$A:$Y,11,FALSE)</f>
        <v>RED</v>
      </c>
      <c r="O6" s="832" t="str">
        <f>VLOOKUP("Flash",Data!$A:$Y,12,FALSE)</f>
        <v>RED</v>
      </c>
      <c r="P6" s="834" t="str">
        <f>VLOOKUP("Flash",Data!$A:$Y,13,FALSE)</f>
        <v>RED</v>
      </c>
      <c r="Q6" s="995" t="str">
        <f>VLOOKUP("Flash",Data!$A:$Y,14,FALSE)</f>
        <v>DRK</v>
      </c>
      <c r="R6" s="832" t="str">
        <f>VLOOKUP("Flash",Data!$A:$Y,15,FALSE)</f>
        <v>DRK</v>
      </c>
      <c r="S6" s="832" t="str">
        <f>VLOOKUP("Flash",Data!$A:$Y,16,FALSE)</f>
        <v>DRK</v>
      </c>
      <c r="T6" s="834" t="str">
        <f>VLOOKUP("Flash",Data!$A:$Y,17,FALSE)</f>
        <v>DRK</v>
      </c>
      <c r="U6" s="831" t="str">
        <f>VLOOKUP("Flash",Data!$A:$Y,18,FALSE)</f>
        <v>DRK</v>
      </c>
      <c r="V6" s="832" t="str">
        <f>VLOOKUP("Flash",Data!$A:$Y,19,FALSE)</f>
        <v>DRK</v>
      </c>
      <c r="W6" s="832" t="str">
        <f>VLOOKUP("Flash",Data!$A:$Y,20,FALSE)</f>
        <v>DRK</v>
      </c>
      <c r="X6" s="832" t="str">
        <f>VLOOKUP("Flash",Data!$A:$Y,21,FALSE)</f>
        <v>DRK</v>
      </c>
      <c r="Y6" s="832" t="str">
        <f>VLOOKUP("Flash",Data!$A:$Y,22,FALSE)</f>
        <v>DRK</v>
      </c>
      <c r="Z6" s="832" t="str">
        <f>VLOOKUP("Flash",Data!$A:$Y,23,FALSE)</f>
        <v>DRK</v>
      </c>
      <c r="AA6" s="832" t="str">
        <f>VLOOKUP("Flash",Data!$A:$Y,24,FALSE)</f>
        <v>DRK</v>
      </c>
      <c r="AB6" s="834" t="str">
        <f>VLOOKUP("Flash",Data!$A:$Y,25,FALSE)</f>
        <v>DRK</v>
      </c>
      <c r="AC6" s="31"/>
      <c r="AD6" s="79"/>
    </row>
    <row r="7" spans="1:30" ht="13.8" thickBot="1">
      <c r="A7" s="2329" t="s">
        <v>135</v>
      </c>
      <c r="B7" s="2330"/>
      <c r="C7" s="2330"/>
      <c r="D7" s="2331"/>
      <c r="E7" s="835" t="str">
        <f>IF(VLOOKUP("Alt Hz",Data!$A:$Y,2,FALSE) = "Off", " ", "X")</f>
        <v xml:space="preserve"> </v>
      </c>
      <c r="F7" s="836" t="str">
        <f>IF(VLOOKUP("Alt Hz",Data!$A:$Y,3,FALSE) = "Off", " ", "X")</f>
        <v>X</v>
      </c>
      <c r="G7" s="836" t="str">
        <f>IF(VLOOKUP("Alt Hz",Data!$A:$Y,4,FALSE) = "Off", " ", "X")</f>
        <v xml:space="preserve"> </v>
      </c>
      <c r="H7" s="836" t="str">
        <f>IF(VLOOKUP("Alt Hz",Data!$A:$Y,5,FALSE) = "Off", " ", "X")</f>
        <v>X</v>
      </c>
      <c r="I7" s="836" t="str">
        <f>IF(VLOOKUP("Alt Hz",Data!$A:$Y,6,FALSE) = "Off", " ", "X")</f>
        <v xml:space="preserve"> </v>
      </c>
      <c r="J7" s="836" t="str">
        <f>IF(VLOOKUP("Alt Hz",Data!$A:$Y,7,FALSE) = "Off", " ", "X")</f>
        <v>X</v>
      </c>
      <c r="K7" s="836" t="str">
        <f>IF(VLOOKUP("Alt Hz",Data!$A:$Y,8,FALSE) = "Off", " ", "X")</f>
        <v xml:space="preserve"> </v>
      </c>
      <c r="L7" s="837" t="str">
        <f>IF(VLOOKUP("Alt Hz",Data!$A:$Y,9,FALSE) = "Off", " ", "X")</f>
        <v>X</v>
      </c>
      <c r="M7" s="835" t="str">
        <f>IF(VLOOKUP("Alt Hz",Data!$A:$Y,10,FALSE) = "Off", " ", "X")</f>
        <v xml:space="preserve"> </v>
      </c>
      <c r="N7" s="836" t="str">
        <f>IF(VLOOKUP("Alt Hz",Data!$A:$Y,11,FALSE) = "Off", " ", "X")</f>
        <v xml:space="preserve"> </v>
      </c>
      <c r="O7" s="836" t="str">
        <f>IF(VLOOKUP("Alt Hz",Data!$A:$Y,12,FALSE) = "Off", " ", "X")</f>
        <v xml:space="preserve"> </v>
      </c>
      <c r="P7" s="838" t="str">
        <f>IF(VLOOKUP("Alt Hz",Data!$A:$Y,13,FALSE) = "Off", " ", "X")</f>
        <v xml:space="preserve"> </v>
      </c>
      <c r="Q7" s="996" t="str">
        <f>IF(VLOOKUP("Alt Hz",Data!$A:$Y,14,FALSE) = "Off", " ", "X")</f>
        <v xml:space="preserve"> </v>
      </c>
      <c r="R7" s="836" t="str">
        <f>IF(VLOOKUP("Alt Hz",Data!$A:$Y,15,FALSE) = "Off", " ", "X")</f>
        <v xml:space="preserve"> </v>
      </c>
      <c r="S7" s="836" t="str">
        <f>IF(VLOOKUP("Alt Hz",Data!$A:$Y,16,FALSE) = "Off", " ", "X")</f>
        <v xml:space="preserve"> </v>
      </c>
      <c r="T7" s="838" t="str">
        <f>IF(VLOOKUP("Alt Hz",Data!$A:$Y,17,FALSE) = "Off", " ", "X")</f>
        <v xml:space="preserve"> </v>
      </c>
      <c r="U7" s="835" t="str">
        <f>IF(VLOOKUP("Alt Hz",Data!$A:$Y,18,FALSE) = "Off", " ", "X")</f>
        <v xml:space="preserve"> </v>
      </c>
      <c r="V7" s="836" t="str">
        <f>IF(VLOOKUP("Alt Hz",Data!$A:$Y,19,FALSE) = "Off", " ", "X")</f>
        <v xml:space="preserve"> </v>
      </c>
      <c r="W7" s="836" t="str">
        <f>IF(VLOOKUP("Alt Hz",Data!$A:$Y,20,FALSE) = "Off", " ", "X")</f>
        <v xml:space="preserve"> </v>
      </c>
      <c r="X7" s="836" t="str">
        <f>IF(VLOOKUP("Alt Hz",Data!$A:$Y,21,FALSE) = "Off", " ", "X")</f>
        <v xml:space="preserve"> </v>
      </c>
      <c r="Y7" s="836" t="str">
        <f>IF(VLOOKUP("Alt Hz",Data!$A:$Y,22,FALSE) = "Off", " ", "X")</f>
        <v xml:space="preserve"> </v>
      </c>
      <c r="Z7" s="836" t="str">
        <f>IF(VLOOKUP("Alt Hz",Data!$A:$Y,23,FALSE) = "Off", " ", "X")</f>
        <v xml:space="preserve"> </v>
      </c>
      <c r="AA7" s="836" t="str">
        <f>IF(VLOOKUP("Alt Hz",Data!$A:$Y,24,FALSE) = "Off", " ", "X")</f>
        <v xml:space="preserve"> </v>
      </c>
      <c r="AB7" s="838" t="str">
        <f>IF(VLOOKUP("Alt Hz",Data!$A:$Y,25,FALSE) = "Off", " ", "X")</f>
        <v xml:space="preserve"> </v>
      </c>
      <c r="AC7" s="31"/>
    </row>
    <row r="8" spans="1:30" ht="13.8" thickBot="1">
      <c r="A8" s="446"/>
      <c r="B8" s="447"/>
      <c r="C8" s="447"/>
      <c r="D8" s="448"/>
      <c r="E8" s="2372" t="s">
        <v>210</v>
      </c>
      <c r="F8" s="2373"/>
      <c r="G8" s="2373"/>
      <c r="H8" s="2373"/>
      <c r="I8" s="2373"/>
      <c r="J8" s="2373"/>
      <c r="K8" s="2373"/>
      <c r="L8" s="2374"/>
      <c r="M8" s="2375" t="s">
        <v>229</v>
      </c>
      <c r="N8" s="2196"/>
      <c r="O8" s="2196"/>
      <c r="P8" s="2196"/>
      <c r="Q8" s="2196"/>
      <c r="R8" s="2196"/>
      <c r="S8" s="2196"/>
      <c r="T8" s="2376"/>
      <c r="U8" s="72"/>
      <c r="V8" s="30"/>
      <c r="W8" s="30"/>
      <c r="X8" s="30"/>
      <c r="Y8" s="30"/>
      <c r="Z8" s="30"/>
      <c r="AA8" s="30"/>
      <c r="AB8" s="30"/>
      <c r="AC8" s="31"/>
    </row>
    <row r="9" spans="1:30" ht="13.8" thickBot="1">
      <c r="A9" s="2377" t="s">
        <v>269</v>
      </c>
      <c r="B9" s="2378"/>
      <c r="C9" s="2378"/>
      <c r="D9" s="2378"/>
      <c r="E9" s="2379"/>
      <c r="F9" s="2379"/>
      <c r="G9" s="2379"/>
      <c r="H9" s="2380"/>
      <c r="I9" s="1334"/>
      <c r="J9" s="2334" t="s">
        <v>274</v>
      </c>
      <c r="K9" s="2335"/>
      <c r="L9" s="2335"/>
      <c r="M9" s="2335"/>
      <c r="N9" s="2335"/>
      <c r="O9" s="2335"/>
      <c r="P9" s="2335"/>
      <c r="Q9" s="2335"/>
      <c r="R9" s="2335"/>
      <c r="S9" s="2335"/>
      <c r="T9" s="2335"/>
      <c r="U9" s="2335"/>
      <c r="V9" s="2335"/>
      <c r="W9" s="2335"/>
      <c r="X9" s="2335"/>
      <c r="Y9" s="2335"/>
      <c r="Z9" s="2335"/>
      <c r="AA9" s="2335"/>
      <c r="AB9" s="2335"/>
      <c r="AC9" s="2336"/>
      <c r="AD9" s="45"/>
    </row>
    <row r="10" spans="1:30" ht="13.8" thickBot="1">
      <c r="A10" s="2382" t="s">
        <v>270</v>
      </c>
      <c r="B10" s="2383"/>
      <c r="C10" s="2383"/>
      <c r="D10" s="2383"/>
      <c r="E10" s="2383"/>
      <c r="F10" s="2384"/>
      <c r="G10" s="2385" t="str">
        <f>VLOOKUP("Extra Maps Enable",Data!$A:$Y,2,FALSE)</f>
        <v>DEFAULT</v>
      </c>
      <c r="H10" s="2386"/>
      <c r="I10" s="30"/>
      <c r="J10" s="2337" t="s">
        <v>184</v>
      </c>
      <c r="K10" s="2338"/>
      <c r="L10" s="2338"/>
      <c r="M10" s="2338"/>
      <c r="N10" s="481">
        <v>1</v>
      </c>
      <c r="O10" s="482">
        <v>2</v>
      </c>
      <c r="P10" s="482">
        <v>3</v>
      </c>
      <c r="Q10" s="482">
        <v>4</v>
      </c>
      <c r="R10" s="482">
        <v>5</v>
      </c>
      <c r="S10" s="482">
        <v>6</v>
      </c>
      <c r="T10" s="482">
        <v>7</v>
      </c>
      <c r="U10" s="483">
        <v>8</v>
      </c>
      <c r="V10" s="843">
        <v>9</v>
      </c>
      <c r="W10" s="482">
        <v>10</v>
      </c>
      <c r="X10" s="482">
        <v>11</v>
      </c>
      <c r="Y10" s="482">
        <v>12</v>
      </c>
      <c r="Z10" s="482">
        <v>13</v>
      </c>
      <c r="AA10" s="482">
        <v>14</v>
      </c>
      <c r="AB10" s="482">
        <v>15</v>
      </c>
      <c r="AC10" s="967">
        <v>16</v>
      </c>
      <c r="AD10" s="45"/>
    </row>
    <row r="11" spans="1:30" ht="13.8" thickTop="1">
      <c r="A11" s="2350" t="s">
        <v>271</v>
      </c>
      <c r="B11" s="2351"/>
      <c r="C11" s="2351"/>
      <c r="D11" s="2351"/>
      <c r="E11" s="2351"/>
      <c r="F11" s="2352"/>
      <c r="G11" s="2332" t="str">
        <f>VLOOKUP("D Conn Mapping",Data!$A:$Y,2,FALSE)</f>
        <v>NONE</v>
      </c>
      <c r="H11" s="2333"/>
      <c r="I11" s="30"/>
      <c r="J11" s="2339" t="s">
        <v>1593</v>
      </c>
      <c r="K11" s="2340"/>
      <c r="L11" s="2340"/>
      <c r="M11" s="2341"/>
      <c r="N11" s="1000" t="str">
        <f>VLOOKUP("Flash Green",Data!$A:$Y,2,FALSE)</f>
        <v>Off</v>
      </c>
      <c r="O11" s="1001" t="str">
        <f>VLOOKUP("Flash Green",Data!$A:$Y,3,FALSE)</f>
        <v>Off</v>
      </c>
      <c r="P11" s="1001" t="str">
        <f>VLOOKUP("Flash Green",Data!$A:$Y,4,FALSE)</f>
        <v>Off</v>
      </c>
      <c r="Q11" s="1001" t="str">
        <f>VLOOKUP("Flash Green",Data!$A:$Y,5,FALSE)</f>
        <v>Off</v>
      </c>
      <c r="R11" s="1001" t="str">
        <f>VLOOKUP("Flash Green",Data!$A:$Y,6,FALSE)</f>
        <v>Off</v>
      </c>
      <c r="S11" s="1001" t="str">
        <f>VLOOKUP("Flash Green",Data!$A:$Y,7,FALSE)</f>
        <v>Off</v>
      </c>
      <c r="T11" s="1001" t="str">
        <f>VLOOKUP("Flash Green",Data!$A:$Y,8,FALSE)</f>
        <v>Off</v>
      </c>
      <c r="U11" s="1001" t="str">
        <f>VLOOKUP("Flash Green",Data!$A:$Y,9,FALSE)</f>
        <v>Off</v>
      </c>
      <c r="V11" s="1001" t="str">
        <f>VLOOKUP("Flash Green",Data!$A:$Y,10,FALSE)</f>
        <v>Off</v>
      </c>
      <c r="W11" s="1001" t="str">
        <f>VLOOKUP("Flash Green",Data!$A:$Y,11,FALSE)</f>
        <v>Off</v>
      </c>
      <c r="X11" s="1001" t="str">
        <f>VLOOKUP("Flash Green",Data!$A:$Y,12,FALSE)</f>
        <v>Off</v>
      </c>
      <c r="Y11" s="1001" t="str">
        <f>VLOOKUP("Flash Green",Data!$A:$Y,13,FALSE)</f>
        <v>Off</v>
      </c>
      <c r="Z11" s="1001" t="str">
        <f>VLOOKUP("Flash Green",Data!$A:$Y,14,FALSE)</f>
        <v>Off</v>
      </c>
      <c r="AA11" s="1001" t="str">
        <f>VLOOKUP("Flash Green",Data!$A:$Y,15,FALSE)</f>
        <v>Off</v>
      </c>
      <c r="AB11" s="1001" t="str">
        <f>VLOOKUP("Flash Green",Data!$A:$Y,16,FALSE)</f>
        <v>Off</v>
      </c>
      <c r="AC11" s="1002" t="str">
        <f>VLOOKUP("Flash Green",Data!$A:$Y,17,FALSE)</f>
        <v>Off</v>
      </c>
      <c r="AD11" s="79"/>
    </row>
    <row r="12" spans="1:30">
      <c r="A12" s="2350" t="s">
        <v>272</v>
      </c>
      <c r="B12" s="2351"/>
      <c r="C12" s="2351"/>
      <c r="D12" s="2351"/>
      <c r="E12" s="2351"/>
      <c r="F12" s="2352"/>
      <c r="G12" s="2304" t="str">
        <f>VLOOKUP("Invert Rail Input",Data!$A:$Y,2,FALSE)</f>
        <v>OFF</v>
      </c>
      <c r="H12" s="2305"/>
      <c r="I12" s="30"/>
      <c r="J12" s="2342" t="s">
        <v>770</v>
      </c>
      <c r="K12" s="2343"/>
      <c r="L12" s="2343"/>
      <c r="M12" s="2344"/>
      <c r="N12" s="1003" t="str">
        <f>VLOOKUP("Flash Red",Data!$A:$Y,2,FALSE)</f>
        <v>Off</v>
      </c>
      <c r="O12" s="1004" t="str">
        <f>VLOOKUP("Flash Red",Data!$A:$Y,3,FALSE)</f>
        <v>Off</v>
      </c>
      <c r="P12" s="1004" t="str">
        <f>VLOOKUP("Flash Red",Data!$A:$Y,4,FALSE)</f>
        <v>Off</v>
      </c>
      <c r="Q12" s="1004" t="str">
        <f>VLOOKUP("Flash Red",Data!$A:$Y,5,FALSE)</f>
        <v>Off</v>
      </c>
      <c r="R12" s="1004" t="str">
        <f>VLOOKUP("Flash Red",Data!$A:$Y,6,FALSE)</f>
        <v>Off</v>
      </c>
      <c r="S12" s="1004" t="str">
        <f>VLOOKUP("Flash Red",Data!$A:$Y,7,FALSE)</f>
        <v>Off</v>
      </c>
      <c r="T12" s="1004" t="str">
        <f>VLOOKUP("Flash Red",Data!$A:$Y,8,FALSE)</f>
        <v>Off</v>
      </c>
      <c r="U12" s="1004" t="str">
        <f>VLOOKUP("Flash Red",Data!$A:$Y,9,FALSE)</f>
        <v>Off</v>
      </c>
      <c r="V12" s="1004" t="str">
        <f>VLOOKUP("Flash Red",Data!$A:$Y,10,FALSE)</f>
        <v>Off</v>
      </c>
      <c r="W12" s="1004" t="str">
        <f>VLOOKUP("Flash Red",Data!$A:$Y,11,FALSE)</f>
        <v>Off</v>
      </c>
      <c r="X12" s="1004" t="str">
        <f>VLOOKUP("Flash Red",Data!$A:$Y,12,FALSE)</f>
        <v>Off</v>
      </c>
      <c r="Y12" s="1004" t="str">
        <f>VLOOKUP("Flash Red",Data!$A:$Y,13,FALSE)</f>
        <v>Off</v>
      </c>
      <c r="Z12" s="1004" t="str">
        <f>VLOOKUP("Flash Red",Data!$A:$Y,14,FALSE)</f>
        <v>Off</v>
      </c>
      <c r="AA12" s="1004" t="str">
        <f>VLOOKUP("Flash Red",Data!$A:$Y,15,FALSE)</f>
        <v>Off</v>
      </c>
      <c r="AB12" s="1004" t="str">
        <f>VLOOKUP("Flash Red",Data!$A:$Y,16,FALSE)</f>
        <v>Off</v>
      </c>
      <c r="AC12" s="1005" t="str">
        <f>VLOOKUP("Flash Red",Data!$A:$Y,17,FALSE)</f>
        <v>Off</v>
      </c>
      <c r="AD12" s="966"/>
    </row>
    <row r="13" spans="1:30" ht="13.8" thickBot="1">
      <c r="A13" s="2347" t="s">
        <v>273</v>
      </c>
      <c r="B13" s="2348"/>
      <c r="C13" s="2348"/>
      <c r="D13" s="2348"/>
      <c r="E13" s="2348"/>
      <c r="F13" s="2349"/>
      <c r="G13" s="2345" t="str">
        <f>VLOOKUP("C1-C11-ABC IO Mode",Data!$A:$Y,2,FALSE)</f>
        <v>USER</v>
      </c>
      <c r="H13" s="2346"/>
      <c r="I13" s="30"/>
      <c r="J13" s="2323" t="s">
        <v>771</v>
      </c>
      <c r="K13" s="2324"/>
      <c r="L13" s="2324"/>
      <c r="M13" s="2325"/>
      <c r="N13" s="1271" t="str">
        <f>VLOOKUP("Flash Yellow",Data!$A:$Y,2,FALSE)</f>
        <v>Off</v>
      </c>
      <c r="O13" s="1272" t="str">
        <f>VLOOKUP("Flash Yellow",Data!$A:$Y,3,FALSE)</f>
        <v>Off</v>
      </c>
      <c r="P13" s="1272" t="str">
        <f>VLOOKUP("Flash Yellow",Data!$A:$Y,4,FALSE)</f>
        <v>Off</v>
      </c>
      <c r="Q13" s="1272" t="str">
        <f>VLOOKUP("Flash Yellow",Data!$A:$Y,5,FALSE)</f>
        <v>Off</v>
      </c>
      <c r="R13" s="1272" t="str">
        <f>VLOOKUP("Flash Yellow",Data!$A:$Y,6,FALSE)</f>
        <v>Off</v>
      </c>
      <c r="S13" s="1272" t="str">
        <f>VLOOKUP("Flash Yellow",Data!$A:$Y,7,FALSE)</f>
        <v>Off</v>
      </c>
      <c r="T13" s="1272" t="str">
        <f>VLOOKUP("Flash Yellow",Data!$A:$Y,8,FALSE)</f>
        <v>Off</v>
      </c>
      <c r="U13" s="1272" t="str">
        <f>VLOOKUP("Flash Yellow",Data!$A:$Y,9,FALSE)</f>
        <v>Off</v>
      </c>
      <c r="V13" s="1272" t="str">
        <f>VLOOKUP("Flash Yellow",Data!$A:$Y,10,FALSE)</f>
        <v>Off</v>
      </c>
      <c r="W13" s="1272" t="str">
        <f>VLOOKUP("Flash Yellow",Data!$A:$Y,11,FALSE)</f>
        <v>Off</v>
      </c>
      <c r="X13" s="1272" t="str">
        <f>VLOOKUP("Flash Yellow",Data!$A:$Y,12,FALSE)</f>
        <v>Off</v>
      </c>
      <c r="Y13" s="1272" t="str">
        <f>VLOOKUP("Flash Yellow",Data!$A:$Y,13,FALSE)</f>
        <v>Off</v>
      </c>
      <c r="Z13" s="1272" t="str">
        <f>VLOOKUP("Flash Yellow",Data!$A:$Y,14,FALSE)</f>
        <v>Off</v>
      </c>
      <c r="AA13" s="1272" t="str">
        <f>VLOOKUP("Flash Yellow",Data!$A:$Y,15,FALSE)</f>
        <v>Off</v>
      </c>
      <c r="AB13" s="1272" t="str">
        <f>VLOOKUP("Flash Yellow",Data!$A:$Y,16,FALSE)</f>
        <v>Off</v>
      </c>
      <c r="AC13" s="1273" t="str">
        <f>VLOOKUP("Flash Yellow",Data!$A:$Y,17,FALSE)</f>
        <v>Off</v>
      </c>
      <c r="AD13" s="966"/>
    </row>
    <row r="14" spans="1:30" ht="13.8" thickBot="1">
      <c r="A14" s="1332" t="s">
        <v>761</v>
      </c>
      <c r="B14" s="213"/>
      <c r="C14" s="213"/>
      <c r="D14" s="213"/>
      <c r="E14" s="213"/>
      <c r="F14" s="213"/>
      <c r="G14" s="968"/>
      <c r="H14" s="968"/>
      <c r="I14" s="156"/>
      <c r="J14" s="2326" t="s">
        <v>998</v>
      </c>
      <c r="K14" s="2327"/>
      <c r="L14" s="2327"/>
      <c r="M14" s="2328"/>
      <c r="N14" s="1003" t="str">
        <f>VLOOKUP("Inh Red Flash in Preempt",Data!$A:$Y,2,FALSE)</f>
        <v>Off</v>
      </c>
      <c r="O14" s="1004" t="str">
        <f>VLOOKUP("Inh Red Flash in Preempt",Data!$A:$Y,3,FALSE)</f>
        <v>Off</v>
      </c>
      <c r="P14" s="1004" t="str">
        <f>VLOOKUP("Inh Red Flash in Preempt",Data!$A:$Y,4,FALSE)</f>
        <v>Off</v>
      </c>
      <c r="Q14" s="1004" t="str">
        <f>VLOOKUP("Inh Red Flash in Preempt",Data!$A:$Y,5,FALSE)</f>
        <v>Off</v>
      </c>
      <c r="R14" s="1004" t="str">
        <f>VLOOKUP("Inh Red Flash in Preempt",Data!$A:$Y,6,FALSE)</f>
        <v>Off</v>
      </c>
      <c r="S14" s="1004" t="str">
        <f>VLOOKUP("Inh Red Flash in Preempt",Data!$A:$Y,7,FALSE)</f>
        <v>Off</v>
      </c>
      <c r="T14" s="1004" t="str">
        <f>VLOOKUP("Inh Red Flash in Preempt",Data!$A:$Y,8,FALSE)</f>
        <v>Off</v>
      </c>
      <c r="U14" s="1004" t="str">
        <f>VLOOKUP("Inh Red Flash in Preempt",Data!$A:$Y,9,FALSE)</f>
        <v>Off</v>
      </c>
      <c r="V14" s="1004" t="str">
        <f>VLOOKUP("Inh Red Flash in Preempt",Data!$A:$Y,10,FALSE)</f>
        <v>Off</v>
      </c>
      <c r="W14" s="1004" t="str">
        <f>VLOOKUP("Inh Red Flash in Preempt",Data!$A:$Y,11,FALSE)</f>
        <v>Off</v>
      </c>
      <c r="X14" s="1004" t="str">
        <f>VLOOKUP("Inh Red Flash in Preempt",Data!$A:$Y,12,FALSE)</f>
        <v>Off</v>
      </c>
      <c r="Y14" s="1004" t="str">
        <f>VLOOKUP("Inh Red Flash in Preempt",Data!$A:$Y,13,FALSE)</f>
        <v>Off</v>
      </c>
      <c r="Z14" s="1004" t="str">
        <f>VLOOKUP("Inh Red Flash in Preempt",Data!$A:$Y,14,FALSE)</f>
        <v>Off</v>
      </c>
      <c r="AA14" s="1004" t="str">
        <f>VLOOKUP("Inh Red Flash in Preempt",Data!$A:$Y,15,FALSE)</f>
        <v>Off</v>
      </c>
      <c r="AB14" s="1004" t="str">
        <f>VLOOKUP("Inh Red Flash in Preempt",Data!$A:$Y,16,FALSE)</f>
        <v>Off</v>
      </c>
      <c r="AC14" s="1005" t="str">
        <f>VLOOKUP("Inh Red Flash in Preempt",Data!$A:$Y,17,FALSE)</f>
        <v>Off</v>
      </c>
      <c r="AD14" s="966"/>
    </row>
    <row r="15" spans="1:30">
      <c r="A15" s="2393" t="s">
        <v>273</v>
      </c>
      <c r="B15" s="2394"/>
      <c r="C15" s="2394"/>
      <c r="D15" s="2394"/>
      <c r="E15" s="2394"/>
      <c r="F15" s="2394"/>
      <c r="G15" s="2391" t="str">
        <f>VLOOKUP("C1-C11-ABC IO Mode",Data!$A:$Y,2,FALSE)</f>
        <v>USER</v>
      </c>
      <c r="H15" s="2392"/>
      <c r="I15" s="156"/>
      <c r="J15" s="2395" t="s">
        <v>999</v>
      </c>
      <c r="K15" s="2396"/>
      <c r="L15" s="2396"/>
      <c r="M15" s="2397"/>
      <c r="N15" s="1271">
        <f>VLOOKUP("Olap Ovrd",Data!$A:$Y,2,FALSE)</f>
        <v>0</v>
      </c>
      <c r="O15" s="1272">
        <f>VLOOKUP("Olap Ovrd",Data!$A:$Y,3,FALSE)</f>
        <v>0</v>
      </c>
      <c r="P15" s="1272">
        <f>VLOOKUP("Olap Ovrd",Data!$A:$Y,4,FALSE)</f>
        <v>0</v>
      </c>
      <c r="Q15" s="1272">
        <f>VLOOKUP("Olap Ovrd",Data!$A:$Y,5,FALSE)</f>
        <v>0</v>
      </c>
      <c r="R15" s="1272">
        <f>VLOOKUP("Olap Ovrd",Data!$A:$Y,6,FALSE)</f>
        <v>0</v>
      </c>
      <c r="S15" s="1272">
        <f>VLOOKUP("Olap Ovrd",Data!$A:$Y,7,FALSE)</f>
        <v>0</v>
      </c>
      <c r="T15" s="1272">
        <f>VLOOKUP("Olap Ovrd",Data!$A:$Y,8,FALSE)</f>
        <v>0</v>
      </c>
      <c r="U15" s="1272">
        <f>VLOOKUP("Olap Ovrd",Data!$A:$Y,9,FALSE)</f>
        <v>0</v>
      </c>
      <c r="V15" s="1272">
        <f>VLOOKUP("Olap Ovrd",Data!$A:$Y,10,FALSE)</f>
        <v>0</v>
      </c>
      <c r="W15" s="1272">
        <f>VLOOKUP("Olap Ovrd",Data!$A:$Y,11,FALSE)</f>
        <v>0</v>
      </c>
      <c r="X15" s="1272">
        <f>VLOOKUP("Olap Ovrd",Data!$A:$Y,12,FALSE)</f>
        <v>0</v>
      </c>
      <c r="Y15" s="1272">
        <f>VLOOKUP("Olap Ovrd",Data!$A:$Y,13,FALSE)</f>
        <v>0</v>
      </c>
      <c r="Z15" s="1272">
        <f>VLOOKUP("Olap Ovrd",Data!$A:$Y,14,FALSE)</f>
        <v>0</v>
      </c>
      <c r="AA15" s="1272">
        <f>VLOOKUP("Olap Ovrd",Data!$A:$Y,15,FALSE)</f>
        <v>0</v>
      </c>
      <c r="AB15" s="1272">
        <f>VLOOKUP("Olap Ovrd",Data!$A:$Y,16,FALSE)</f>
        <v>0</v>
      </c>
      <c r="AC15" s="1273">
        <f>VLOOKUP("Olap Ovrd",Data!$A:$Y,17,FALSE)</f>
        <v>0</v>
      </c>
      <c r="AD15" s="966"/>
    </row>
    <row r="16" spans="1:30" ht="13.8" thickBot="1">
      <c r="A16" s="2300" t="s">
        <v>271</v>
      </c>
      <c r="B16" s="2301"/>
      <c r="C16" s="2301"/>
      <c r="D16" s="2301"/>
      <c r="E16" s="2301"/>
      <c r="F16" s="2301"/>
      <c r="G16" s="2332" t="str">
        <f>VLOOKUP("D Conn Mapping",Data!$A:$Y,2,FALSE)</f>
        <v>NONE</v>
      </c>
      <c r="H16" s="2333"/>
      <c r="I16" s="156"/>
      <c r="J16" s="2369" t="s">
        <v>1595</v>
      </c>
      <c r="K16" s="2370"/>
      <c r="L16" s="2370"/>
      <c r="M16" s="2371"/>
      <c r="N16" s="1006">
        <f>VLOOKUP("Override Type",Data!$A:$Y,2,FALSE)</f>
        <v>0</v>
      </c>
      <c r="O16" s="1007">
        <f>VLOOKUP("Override Type",Data!$A:$Y,3,FALSE)</f>
        <v>0</v>
      </c>
      <c r="P16" s="1007">
        <f>VLOOKUP("Override Type",Data!$A:$Y,4,FALSE)</f>
        <v>0</v>
      </c>
      <c r="Q16" s="1007">
        <f>VLOOKUP("Override Type",Data!$A:$Y,5,FALSE)</f>
        <v>0</v>
      </c>
      <c r="R16" s="1007">
        <f>VLOOKUP("Override Type",Data!$A:$Y,6,FALSE)</f>
        <v>0</v>
      </c>
      <c r="S16" s="1007">
        <f>VLOOKUP("Override Type",Data!$A:$Y,7,FALSE)</f>
        <v>0</v>
      </c>
      <c r="T16" s="1007">
        <f>VLOOKUP("Override Type",Data!$A:$Y,8,FALSE)</f>
        <v>0</v>
      </c>
      <c r="U16" s="1007">
        <f>VLOOKUP("Override Type",Data!$A:$Y,9,FALSE)</f>
        <v>0</v>
      </c>
      <c r="V16" s="1007">
        <f>VLOOKUP("Override Type",Data!$A:$Y,10,FALSE)</f>
        <v>0</v>
      </c>
      <c r="W16" s="1007">
        <f>VLOOKUP("Override Type",Data!$A:$Y,11,FALSE)</f>
        <v>0</v>
      </c>
      <c r="X16" s="1007">
        <f>VLOOKUP("Override Type",Data!$A:$Y,12,FALSE)</f>
        <v>0</v>
      </c>
      <c r="Y16" s="1007">
        <f>VLOOKUP("Override Type",Data!$A:$Y,13,FALSE)</f>
        <v>0</v>
      </c>
      <c r="Z16" s="1007">
        <f>VLOOKUP("Override Type",Data!$A:$Y,14,FALSE)</f>
        <v>0</v>
      </c>
      <c r="AA16" s="1007">
        <f>VLOOKUP("Override Type",Data!$A:$Y,15,FALSE)</f>
        <v>0</v>
      </c>
      <c r="AB16" s="1007">
        <f>VLOOKUP("Override Type",Data!$A:$Y,16,FALSE)</f>
        <v>0</v>
      </c>
      <c r="AC16" s="1008">
        <f>VLOOKUP("Override Type",Data!$A:$Y,17,FALSE)</f>
        <v>0</v>
      </c>
      <c r="AD16" s="966"/>
    </row>
    <row r="17" spans="1:30">
      <c r="A17" s="2387" t="s">
        <v>762</v>
      </c>
      <c r="B17" s="2388"/>
      <c r="C17" s="2388"/>
      <c r="D17" s="2388"/>
      <c r="E17" s="2388"/>
      <c r="F17" s="2388"/>
      <c r="G17" s="2389" t="str">
        <f>VLOOKUP("Alt T&amp;F Biu Map",Data!$A:$Y,2,FALSE)</f>
        <v>DEFAULT</v>
      </c>
      <c r="H17" s="2390"/>
      <c r="I17" s="156"/>
      <c r="J17" s="2381"/>
      <c r="K17" s="2381"/>
      <c r="L17" s="2381"/>
      <c r="M17" s="2381"/>
      <c r="N17" s="484"/>
      <c r="O17" s="484"/>
      <c r="P17" s="484"/>
      <c r="Q17" s="484"/>
      <c r="R17" s="156"/>
      <c r="S17" s="156"/>
      <c r="T17" s="156"/>
      <c r="U17" s="30"/>
      <c r="V17" s="30"/>
      <c r="W17" s="30"/>
      <c r="X17" s="30"/>
      <c r="Y17" s="30"/>
      <c r="Z17" s="30"/>
      <c r="AA17" s="30"/>
      <c r="AB17" s="30"/>
      <c r="AC17" s="31"/>
    </row>
    <row r="18" spans="1:30">
      <c r="A18" s="2300" t="s">
        <v>272</v>
      </c>
      <c r="B18" s="2301"/>
      <c r="C18" s="2301"/>
      <c r="D18" s="2301"/>
      <c r="E18" s="2301"/>
      <c r="F18" s="2301"/>
      <c r="G18" s="2304" t="str">
        <f>VLOOKUP("Invert Rail Input",Data!$A:$Y,2,FALSE)</f>
        <v>OFF</v>
      </c>
      <c r="H18" s="2305"/>
      <c r="I18" s="156"/>
      <c r="J18" s="986" t="s">
        <v>654</v>
      </c>
      <c r="K18" s="2294">
        <f>Data!B118</f>
        <v>0</v>
      </c>
      <c r="L18" s="2294"/>
      <c r="M18" s="156"/>
      <c r="N18" s="156"/>
      <c r="O18" s="986" t="s">
        <v>655</v>
      </c>
      <c r="P18" s="156"/>
      <c r="Q18" s="2294" t="str">
        <f>Data!B124</f>
        <v>Alpha @ Beta</v>
      </c>
      <c r="R18" s="2294"/>
      <c r="S18" s="2294"/>
      <c r="T18" s="2294"/>
      <c r="U18" s="2294"/>
      <c r="V18" s="2294"/>
      <c r="W18" s="2294"/>
      <c r="X18" s="2294"/>
      <c r="Y18" s="2294"/>
      <c r="Z18" s="2294"/>
      <c r="AA18" s="2294"/>
      <c r="AB18" s="2294"/>
      <c r="AC18" s="31"/>
    </row>
    <row r="19" spans="1:30" ht="13.8" thickBot="1">
      <c r="A19" s="2302" t="s">
        <v>768</v>
      </c>
      <c r="B19" s="2303"/>
      <c r="C19" s="2303"/>
      <c r="D19" s="2303"/>
      <c r="E19" s="2303"/>
      <c r="F19" s="2303"/>
      <c r="G19" s="2306" t="str">
        <f>VLOOKUP("EVP Ped Confirmations",Data!$A:$Y,2,FALSE)</f>
        <v>OFF</v>
      </c>
      <c r="H19" s="2307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30"/>
      <c r="AA19" s="30"/>
      <c r="AB19" s="30"/>
      <c r="AC19" s="31"/>
    </row>
    <row r="20" spans="1:30" ht="15" customHeight="1" thickBot="1">
      <c r="A20" s="1333" t="s">
        <v>275</v>
      </c>
      <c r="B20" s="994"/>
      <c r="C20" s="994"/>
      <c r="D20" s="994"/>
      <c r="E20" s="984"/>
      <c r="F20" s="984"/>
      <c r="G20" s="984"/>
      <c r="H20" s="984"/>
      <c r="I20" s="984"/>
      <c r="J20" s="984"/>
      <c r="K20" s="984"/>
      <c r="L20" s="984"/>
      <c r="M20" s="984"/>
      <c r="N20" s="984"/>
      <c r="O20" s="984"/>
      <c r="P20" s="984"/>
      <c r="Q20" s="984"/>
      <c r="R20" s="984"/>
      <c r="S20" s="984"/>
      <c r="T20" s="984"/>
      <c r="U20" s="984"/>
      <c r="V20" s="984"/>
      <c r="W20" s="984"/>
      <c r="X20" s="985"/>
      <c r="Y20" s="2284" t="s">
        <v>3919</v>
      </c>
      <c r="Z20" s="2285"/>
      <c r="AA20" s="2317">
        <f ca="1">TODAY()</f>
        <v>45364</v>
      </c>
      <c r="AB20" s="2318"/>
      <c r="AC20" s="2319"/>
    </row>
    <row r="21" spans="1:30" ht="13.8">
      <c r="A21" s="2308" t="s">
        <v>277</v>
      </c>
      <c r="B21" s="2310" t="s">
        <v>278</v>
      </c>
      <c r="C21" s="2311"/>
      <c r="D21" s="1216"/>
      <c r="E21" s="2295" t="s">
        <v>3923</v>
      </c>
      <c r="F21" s="2296"/>
      <c r="G21" s="2296"/>
      <c r="H21" s="2296"/>
      <c r="I21" s="2296"/>
      <c r="J21" s="2297"/>
      <c r="K21" s="2295" t="s">
        <v>3921</v>
      </c>
      <c r="L21" s="2296"/>
      <c r="M21" s="2296"/>
      <c r="N21" s="2296"/>
      <c r="O21" s="2296"/>
      <c r="P21" s="2297"/>
      <c r="Q21" s="2295" t="s">
        <v>3920</v>
      </c>
      <c r="R21" s="2296"/>
      <c r="S21" s="2296"/>
      <c r="T21" s="2296"/>
      <c r="U21" s="2296"/>
      <c r="V21" s="2297"/>
      <c r="W21" s="2312" t="s">
        <v>280</v>
      </c>
      <c r="X21" s="2313"/>
      <c r="Y21" s="979" t="s">
        <v>276</v>
      </c>
      <c r="Z21" s="980"/>
      <c r="AA21" s="27"/>
      <c r="AB21" s="28"/>
      <c r="AC21" s="65"/>
    </row>
    <row r="22" spans="1:30" ht="28.5" customHeight="1" thickBot="1">
      <c r="A22" s="2309"/>
      <c r="B22" s="1217" t="s">
        <v>281</v>
      </c>
      <c r="C22" s="1218" t="s">
        <v>282</v>
      </c>
      <c r="D22" s="1219" t="s">
        <v>3922</v>
      </c>
      <c r="E22" s="1217" t="s">
        <v>283</v>
      </c>
      <c r="F22" s="1220" t="s">
        <v>33</v>
      </c>
      <c r="G22" s="1220" t="s">
        <v>284</v>
      </c>
      <c r="H22" s="1221" t="s">
        <v>3924</v>
      </c>
      <c r="I22" s="2288" t="s">
        <v>3925</v>
      </c>
      <c r="J22" s="2289"/>
      <c r="K22" s="1217" t="s">
        <v>283</v>
      </c>
      <c r="L22" s="1220" t="s">
        <v>33</v>
      </c>
      <c r="M22" s="1220" t="s">
        <v>284</v>
      </c>
      <c r="N22" s="1222" t="s">
        <v>3924</v>
      </c>
      <c r="O22" s="2398" t="s">
        <v>3925</v>
      </c>
      <c r="P22" s="2399"/>
      <c r="Q22" s="1217" t="s">
        <v>283</v>
      </c>
      <c r="R22" s="1220" t="s">
        <v>33</v>
      </c>
      <c r="S22" s="1220" t="s">
        <v>284</v>
      </c>
      <c r="T22" s="1221" t="s">
        <v>3924</v>
      </c>
      <c r="U22" s="2288" t="s">
        <v>3925</v>
      </c>
      <c r="V22" s="2289"/>
      <c r="W22" s="1223" t="s">
        <v>32</v>
      </c>
      <c r="X22" s="1224" t="s">
        <v>285</v>
      </c>
      <c r="Y22" s="2314" t="s">
        <v>286</v>
      </c>
      <c r="Z22" s="2223" t="s">
        <v>108</v>
      </c>
      <c r="AA22" s="2298" t="s">
        <v>3926</v>
      </c>
      <c r="AB22" s="2298" t="s">
        <v>3927</v>
      </c>
      <c r="AC22" s="2286" t="s">
        <v>3928</v>
      </c>
    </row>
    <row r="23" spans="1:30" ht="15" thickTop="1" thickBot="1">
      <c r="A23" s="1213">
        <v>1</v>
      </c>
      <c r="B23" s="1225" t="str">
        <f>VLOOKUP("Operand 1 Result",Data!$A:$Y,2,FALSE)</f>
        <v>I</v>
      </c>
      <c r="C23" s="1226">
        <f>VLOOKUP("Result",Data!$A:$Y,2,FALSE)</f>
        <v>0</v>
      </c>
      <c r="D23" s="1227" t="s">
        <v>3922</v>
      </c>
      <c r="E23" s="1228" t="str">
        <f>VLOOKUP("Operand 1 Invert",Data!$A:$Y,2,FALSE)</f>
        <v>-</v>
      </c>
      <c r="F23" s="1229" t="str">
        <f>VLOOKUP("Src 1",Data!$A:$Y,2,FALSE)</f>
        <v>0</v>
      </c>
      <c r="G23" s="1229" t="str">
        <f>VLOOKUP("Operand 1 IO",Data!$A:$Y,2,FALSE)</f>
        <v>I</v>
      </c>
      <c r="H23" s="1230" t="str">
        <f>VLOOKUP("Fun 1",Data!$A:$Y,2,FALSE)</f>
        <v>OFF</v>
      </c>
      <c r="I23" s="2290" t="str">
        <f>VLOOKUP("Operator 1 Function",Data!$A:$Y,2,FALSE)</f>
        <v>----</v>
      </c>
      <c r="J23" s="2291"/>
      <c r="K23" s="1231" t="str">
        <f>VLOOKUP("Operand 2 Invert",Data!$A:$Y,2,FALSE)</f>
        <v>-</v>
      </c>
      <c r="L23" s="1232" t="str">
        <f>VLOOKUP("Src 2",Data!$A:$Y,2,FALSE)</f>
        <v>0</v>
      </c>
      <c r="M23" s="1232" t="str">
        <f>VLOOKUP("Operand 2 IO",Data!$A:$Y,2,FALSE)</f>
        <v>I</v>
      </c>
      <c r="N23" s="1233" t="str">
        <f>VLOOKUP("Fun 2",Data!$A:$Y,2,FALSE)</f>
        <v>OFF</v>
      </c>
      <c r="O23" s="2290" t="str">
        <f>VLOOKUP("Operator 2 Function",Data!$A:$Y,2,FALSE)</f>
        <v>----</v>
      </c>
      <c r="P23" s="2291"/>
      <c r="Q23" s="1228" t="str">
        <f>VLOOKUP("Operand 3 Invert",Data!$A:$Y,2,FALSE)</f>
        <v>-</v>
      </c>
      <c r="R23" s="1229" t="str">
        <f>VLOOKUP("Src 3",Data!$A:$Y,2,FALSE)</f>
        <v>0</v>
      </c>
      <c r="S23" s="1229" t="str">
        <f>VLOOKUP("Operand 3 IO",Data!$A:$Y,2,FALSE)</f>
        <v>I</v>
      </c>
      <c r="T23" s="1230" t="str">
        <f>VLOOKUP("Fun 3",Data!$A:$Y,2,FALSE)</f>
        <v>OFF</v>
      </c>
      <c r="U23" s="2290" t="str">
        <f>VLOOKUP("Operator 3 Function",Data!$A:$Y,2,FALSE)</f>
        <v>----</v>
      </c>
      <c r="V23" s="2291"/>
      <c r="W23" s="1234" t="str">
        <f>VLOOKUP("Time Operator",Data!$A:$Y,2,FALSE)</f>
        <v>DLY</v>
      </c>
      <c r="X23" s="1235">
        <f>VLOOKUP("Time",Data!$A:$Y,2,FALSE)</f>
        <v>0</v>
      </c>
      <c r="Y23" s="2315"/>
      <c r="Z23" s="2316"/>
      <c r="AA23" s="2299"/>
      <c r="AB23" s="2299"/>
      <c r="AC23" s="2287"/>
    </row>
    <row r="24" spans="1:30" ht="15" thickTop="1" thickBot="1">
      <c r="A24" s="1214">
        <v>2</v>
      </c>
      <c r="B24" s="1236" t="str">
        <f>VLOOKUP("Operand 1 Result",Data!$A:$Y,3,FALSE)</f>
        <v>I</v>
      </c>
      <c r="C24" s="1237">
        <f>VLOOKUP("Result",Data!$A:$Y,3,FALSE)</f>
        <v>0</v>
      </c>
      <c r="D24" s="1238" t="s">
        <v>3922</v>
      </c>
      <c r="E24" s="1239" t="str">
        <f>VLOOKUP("Operand 1 Invert",Data!$A:$Y,3,FALSE)</f>
        <v>-</v>
      </c>
      <c r="F24" s="1240" t="str">
        <f>VLOOKUP("Src 1",Data!$A:$Y,3,FALSE)</f>
        <v>0</v>
      </c>
      <c r="G24" s="1240" t="str">
        <f>VLOOKUP("Operand 1 IO",Data!$A:$Y,3,FALSE)</f>
        <v>I</v>
      </c>
      <c r="H24" s="1241" t="str">
        <f>VLOOKUP("Fun 1",Data!$A:$Y,3,FALSE)</f>
        <v>OFF</v>
      </c>
      <c r="I24" s="2279" t="str">
        <f>VLOOKUP("Operator 1 Function",Data!$A:$Y,3,FALSE)</f>
        <v>----</v>
      </c>
      <c r="J24" s="2280"/>
      <c r="K24" s="1242" t="str">
        <f>VLOOKUP("Operand 2 Invert",Data!$A:$Y,3,FALSE)</f>
        <v>-</v>
      </c>
      <c r="L24" s="1243" t="str">
        <f>VLOOKUP("Src 2",Data!$A:$Y,3,FALSE)</f>
        <v>0</v>
      </c>
      <c r="M24" s="1243" t="str">
        <f>VLOOKUP("Operand 2 IO",Data!$A:$Y,3,FALSE)</f>
        <v>I</v>
      </c>
      <c r="N24" s="1244" t="str">
        <f>VLOOKUP("Fun 2",Data!$A:$Y,3,FALSE)</f>
        <v>OFF</v>
      </c>
      <c r="O24" s="2279" t="str">
        <f>VLOOKUP("Operator 2 Function",Data!$A:$Y,3,FALSE)</f>
        <v>----</v>
      </c>
      <c r="P24" s="2280"/>
      <c r="Q24" s="1239" t="str">
        <f>VLOOKUP("Operand 3 Invert",Data!$A:$Y,3,FALSE)</f>
        <v>-</v>
      </c>
      <c r="R24" s="1240" t="str">
        <f>VLOOKUP("Src 3",Data!$A:$Y,3,FALSE)</f>
        <v>0</v>
      </c>
      <c r="S24" s="1240" t="str">
        <f>VLOOKUP("Operand 3 IO",Data!$A:$Y,3,FALSE)</f>
        <v>I</v>
      </c>
      <c r="T24" s="1241" t="str">
        <f>VLOOKUP("Fun 3",Data!$A:$Y,3,FALSE)</f>
        <v>OFF</v>
      </c>
      <c r="U24" s="2279" t="str">
        <f>VLOOKUP("Operator 3 Function",Data!$A:$Y,3,FALSE)</f>
        <v>----</v>
      </c>
      <c r="V24" s="2280"/>
      <c r="W24" s="1245" t="str">
        <f>VLOOKUP("Time Operator",Data!$A:$Y,3,FALSE)</f>
        <v>DLY</v>
      </c>
      <c r="X24" s="1246">
        <f>VLOOKUP("Time",Data!$A:$Y,3,FALSE)</f>
        <v>0</v>
      </c>
      <c r="Y24" s="74">
        <v>1</v>
      </c>
      <c r="Z24" s="938">
        <f>VLOOKUP("Call Phase",Data!$A$1293:$Y$1293,2,FALSE)</f>
        <v>0</v>
      </c>
      <c r="AA24" s="839">
        <f>VLOOKUP("No Activity",Data!$A$1296:$Y$1296,2,FALSE)</f>
        <v>0</v>
      </c>
      <c r="AB24" s="839">
        <f>VLOOKUP("Max Presence",Data!$A$1295:$Y$1295,2,FALSE)</f>
        <v>0</v>
      </c>
      <c r="AC24" s="840">
        <f>VLOOKUP("Erratic Cnt",Data!$A$1294:$Y$1294,2,FALSE)</f>
        <v>0</v>
      </c>
      <c r="AD24" s="79"/>
    </row>
    <row r="25" spans="1:30" ht="14.4" thickBot="1">
      <c r="A25" s="1214">
        <v>3</v>
      </c>
      <c r="B25" s="1247" t="str">
        <f>VLOOKUP("Operand 1 Result",Data!$A:$Y,4,FALSE)</f>
        <v>I</v>
      </c>
      <c r="C25" s="1248">
        <f>VLOOKUP("Result",Data!$A:$Y,4,FALSE)</f>
        <v>0</v>
      </c>
      <c r="D25" s="1238" t="s">
        <v>3922</v>
      </c>
      <c r="E25" s="1249" t="str">
        <f>VLOOKUP("Operand 1 Invert",Data!$A:$Y,4,FALSE)</f>
        <v>-</v>
      </c>
      <c r="F25" s="1250" t="str">
        <f>VLOOKUP("Src 1",Data!$A:$Y,4,FALSE)</f>
        <v>0</v>
      </c>
      <c r="G25" s="1250" t="str">
        <f>VLOOKUP("Operand 1 IO",Data!$A:$Y,4,FALSE)</f>
        <v>I</v>
      </c>
      <c r="H25" s="1251" t="str">
        <f>VLOOKUP("Fun 1",Data!$A:$Y,4,FALSE)</f>
        <v>OFF</v>
      </c>
      <c r="I25" s="2277" t="str">
        <f>VLOOKUP("Operator 1 Function",Data!$A:$Y,4,FALSE)</f>
        <v>----</v>
      </c>
      <c r="J25" s="2278"/>
      <c r="K25" s="1252" t="str">
        <f>VLOOKUP("Operand 2 Invert",Data!$A:$Y,4,FALSE)</f>
        <v>-</v>
      </c>
      <c r="L25" s="1253" t="str">
        <f>VLOOKUP("Src 2",Data!$A:$Y,4,FALSE)</f>
        <v>0</v>
      </c>
      <c r="M25" s="1253" t="str">
        <f>VLOOKUP("Operand 2 IO",Data!$A:$Y,4,FALSE)</f>
        <v>I</v>
      </c>
      <c r="N25" s="1254" t="str">
        <f>VLOOKUP("Fun 2",Data!$A:$Y,4,FALSE)</f>
        <v>OFF</v>
      </c>
      <c r="O25" s="2277" t="str">
        <f>VLOOKUP("Operator 2 Function",Data!$A:$Y,4,FALSE)</f>
        <v>----</v>
      </c>
      <c r="P25" s="2278"/>
      <c r="Q25" s="1249" t="str">
        <f>VLOOKUP("Operand 3 Invert",Data!$A:$Y,4,FALSE)</f>
        <v>-</v>
      </c>
      <c r="R25" s="1250" t="str">
        <f>VLOOKUP("Src 3",Data!$A:$Y,4,FALSE)</f>
        <v>0</v>
      </c>
      <c r="S25" s="1250" t="str">
        <f>VLOOKUP("Operand 3 IO",Data!$A:$Y,4,FALSE)</f>
        <v>I</v>
      </c>
      <c r="T25" s="1251" t="str">
        <f>VLOOKUP("Fun 3",Data!$A:$Y,4,FALSE)</f>
        <v>OFF</v>
      </c>
      <c r="U25" s="2277" t="str">
        <f>VLOOKUP("Operator 3 Function",Data!$A:$Y,4,FALSE)</f>
        <v>----</v>
      </c>
      <c r="V25" s="2278"/>
      <c r="W25" s="1255" t="str">
        <f>VLOOKUP("Time Operator",Data!$A:$Y,4,FALSE)</f>
        <v>DLY</v>
      </c>
      <c r="X25" s="1256">
        <f>VLOOKUP("Time",Data!$A:$Y,4,FALSE)</f>
        <v>0</v>
      </c>
      <c r="Y25" s="75">
        <v>2</v>
      </c>
      <c r="Z25" s="939">
        <f>VLOOKUP("Call Phase",Data!$A$1293:$Y$1293,3,FALSE)</f>
        <v>2</v>
      </c>
      <c r="AA25" s="844">
        <f>VLOOKUP("No Activity",Data!$A$1296:$Y$1296,3,FALSE)</f>
        <v>0</v>
      </c>
      <c r="AB25" s="844">
        <f>VLOOKUP("Max Presence",Data!$A$1295:$Y$1295,3,FALSE)</f>
        <v>0</v>
      </c>
      <c r="AC25" s="845">
        <f>VLOOKUP("Erratic Cnt",Data!$A$1294:$Y$1294,3,FALSE)</f>
        <v>0</v>
      </c>
      <c r="AD25" s="79"/>
    </row>
    <row r="26" spans="1:30" ht="14.4" thickBot="1">
      <c r="A26" s="1214">
        <v>4</v>
      </c>
      <c r="B26" s="1236" t="str">
        <f>VLOOKUP("Operand 1 Result",Data!$A:$Y,5,FALSE)</f>
        <v>I</v>
      </c>
      <c r="C26" s="1237">
        <f>VLOOKUP("Result",Data!$A:$Y,5,FALSE)</f>
        <v>0</v>
      </c>
      <c r="D26" s="1238" t="s">
        <v>3922</v>
      </c>
      <c r="E26" s="1239" t="str">
        <f>VLOOKUP("Operand 1 Invert",Data!$A:$Y,5,FALSE)</f>
        <v>-</v>
      </c>
      <c r="F26" s="1240" t="str">
        <f>VLOOKUP("Src 1",Data!$A:$Y,5,FALSE)</f>
        <v>0</v>
      </c>
      <c r="G26" s="1240" t="str">
        <f>VLOOKUP("Operand 1 IO",Data!$A:$Y,5,FALSE)</f>
        <v>I</v>
      </c>
      <c r="H26" s="1241" t="str">
        <f>VLOOKUP("Fun 1",Data!$A:$Y,5,FALSE)</f>
        <v>OFF</v>
      </c>
      <c r="I26" s="2279" t="str">
        <f>VLOOKUP("Operator 1 Function",Data!$A:$Y,5,FALSE)</f>
        <v>----</v>
      </c>
      <c r="J26" s="2280"/>
      <c r="K26" s="1242" t="str">
        <f>VLOOKUP("Operand 2 Invert",Data!$A:$Y,5,FALSE)</f>
        <v>-</v>
      </c>
      <c r="L26" s="1243" t="str">
        <f>VLOOKUP("Src 2",Data!$A:$Y,5,FALSE)</f>
        <v>0</v>
      </c>
      <c r="M26" s="1243" t="str">
        <f>VLOOKUP("Operand 2 IO",Data!$A:$Y,5,FALSE)</f>
        <v>I</v>
      </c>
      <c r="N26" s="1244" t="str">
        <f>VLOOKUP("Fun 2",Data!$A:$Y,5,FALSE)</f>
        <v>OFF</v>
      </c>
      <c r="O26" s="2279" t="str">
        <f>VLOOKUP("Operator 2 Function",Data!$A:$Y,5,FALSE)</f>
        <v>----</v>
      </c>
      <c r="P26" s="2280"/>
      <c r="Q26" s="1239" t="str">
        <f>VLOOKUP("Operand 3 Invert",Data!$A:$Y,5,FALSE)</f>
        <v>-</v>
      </c>
      <c r="R26" s="1240" t="str">
        <f>VLOOKUP("Src 3",Data!$A:$Y,5,FALSE)</f>
        <v>0</v>
      </c>
      <c r="S26" s="1240" t="str">
        <f>VLOOKUP("Operand 3 IO",Data!$A:$Y,5,FALSE)</f>
        <v>I</v>
      </c>
      <c r="T26" s="1241" t="str">
        <f>VLOOKUP("Fun 3",Data!$A:$Y,5,FALSE)</f>
        <v>OFF</v>
      </c>
      <c r="U26" s="2279" t="str">
        <f>VLOOKUP("Operator 3 Function",Data!$A:$Y,5,FALSE)</f>
        <v>----</v>
      </c>
      <c r="V26" s="2280"/>
      <c r="W26" s="1245" t="str">
        <f>VLOOKUP("Time Operator",Data!$A:$Y,5,FALSE)</f>
        <v>DLY</v>
      </c>
      <c r="X26" s="1246">
        <f>VLOOKUP("Time",Data!$A:$Y,5,FALSE)</f>
        <v>0</v>
      </c>
      <c r="Y26" s="75">
        <v>3</v>
      </c>
      <c r="Z26" s="940">
        <f>VLOOKUP("Call Phase",Data!$A$1293:$Y$1293,4,FALSE)</f>
        <v>0</v>
      </c>
      <c r="AA26" s="841">
        <f>VLOOKUP("No Activity",Data!$A$1296:$Y$1296,4,FALSE)</f>
        <v>0</v>
      </c>
      <c r="AB26" s="841">
        <f>VLOOKUP("Max Presence",Data!$A$1295:$Y$1295,4,FALSE)</f>
        <v>0</v>
      </c>
      <c r="AC26" s="842">
        <f>VLOOKUP("Erratic Cnt",Data!$A$1294:$Y$1294,4,FALSE)</f>
        <v>0</v>
      </c>
      <c r="AD26" s="79"/>
    </row>
    <row r="27" spans="1:30" ht="14.4" thickBot="1">
      <c r="A27" s="1214">
        <v>5</v>
      </c>
      <c r="B27" s="1247" t="str">
        <f>VLOOKUP("Operand 1 Result",Data!$A:$Y,6,FALSE)</f>
        <v>I</v>
      </c>
      <c r="C27" s="1248">
        <f>VLOOKUP("Result",Data!$A:$Y,6,FALSE)</f>
        <v>0</v>
      </c>
      <c r="D27" s="1238" t="s">
        <v>3922</v>
      </c>
      <c r="E27" s="1249" t="str">
        <f>VLOOKUP("Operand 1 Invert",Data!$A:$Y,6,FALSE)</f>
        <v>-</v>
      </c>
      <c r="F27" s="1250" t="str">
        <f>VLOOKUP("Src 1",Data!$A:$Y,6,FALSE)</f>
        <v>0</v>
      </c>
      <c r="G27" s="1250" t="str">
        <f>VLOOKUP("Operand 1 IO",Data!$A:$Y,6,FALSE)</f>
        <v>I</v>
      </c>
      <c r="H27" s="1251" t="str">
        <f>VLOOKUP("Fun 1",Data!$A:$Y,6,FALSE)</f>
        <v>OFF</v>
      </c>
      <c r="I27" s="2277" t="str">
        <f>VLOOKUP("Operator 1 Function",Data!$A:$Y,6,FALSE)</f>
        <v>----</v>
      </c>
      <c r="J27" s="2278"/>
      <c r="K27" s="1252" t="str">
        <f>VLOOKUP("Operand 2 Invert",Data!$A:$Y,6,FALSE)</f>
        <v>-</v>
      </c>
      <c r="L27" s="1253" t="str">
        <f>VLOOKUP("Src 2",Data!$A:$Y,6,FALSE)</f>
        <v>0</v>
      </c>
      <c r="M27" s="1253" t="str">
        <f>VLOOKUP("Operand 2 IO",Data!$A:$Y,6,FALSE)</f>
        <v>I</v>
      </c>
      <c r="N27" s="1254" t="str">
        <f>VLOOKUP("Fun 2",Data!$A:$Y,6,FALSE)</f>
        <v>OFF</v>
      </c>
      <c r="O27" s="2400" t="str">
        <f>VLOOKUP("Operator 2 Function",Data!$A:$Y,6,FALSE)</f>
        <v>----</v>
      </c>
      <c r="P27" s="2401"/>
      <c r="Q27" s="1249" t="str">
        <f>VLOOKUP("Operand 3 Invert",Data!$A:$Y,6,FALSE)</f>
        <v>-</v>
      </c>
      <c r="R27" s="1250" t="str">
        <f>VLOOKUP("Src 3",Data!$A:$Y,6,FALSE)</f>
        <v>0</v>
      </c>
      <c r="S27" s="1250" t="str">
        <f>VLOOKUP("Operand 3 IO",Data!$A:$Y,6,FALSE)</f>
        <v>I</v>
      </c>
      <c r="T27" s="1251" t="str">
        <f>VLOOKUP("Fun 3",Data!$A:$Y,6,FALSE)</f>
        <v>OFF</v>
      </c>
      <c r="U27" s="2277" t="str">
        <f>VLOOKUP("Operator 3 Function",Data!$A:$Y,6,FALSE)</f>
        <v>----</v>
      </c>
      <c r="V27" s="2278"/>
      <c r="W27" s="1255" t="str">
        <f>VLOOKUP("Time Operator",Data!$A:$Y,6,FALSE)</f>
        <v>DLY</v>
      </c>
      <c r="X27" s="1256">
        <f>VLOOKUP("Time",Data!$A:$Y,6,FALSE)</f>
        <v>0</v>
      </c>
      <c r="Y27" s="75">
        <v>4</v>
      </c>
      <c r="Z27" s="939">
        <f>VLOOKUP("Call Phase",Data!$A$1293:$Y$1293,5,FALSE)</f>
        <v>4</v>
      </c>
      <c r="AA27" s="844">
        <f>VLOOKUP("No Activity",Data!$A$1296:$Y$1296,5,FALSE)</f>
        <v>0</v>
      </c>
      <c r="AB27" s="844">
        <f>VLOOKUP("Max Presence",Data!$A$1295:$Y$1295,5,FALSE)</f>
        <v>0</v>
      </c>
      <c r="AC27" s="845">
        <f>VLOOKUP("Erratic Cnt",Data!$A$1294:$Y$1294,5,FALSE)</f>
        <v>0</v>
      </c>
      <c r="AD27" s="79"/>
    </row>
    <row r="28" spans="1:30" ht="14.4" thickBot="1">
      <c r="A28" s="1214">
        <v>6</v>
      </c>
      <c r="B28" s="1236" t="str">
        <f>VLOOKUP("Operand 1 Result",Data!$A:$Y,7,FALSE)</f>
        <v>I</v>
      </c>
      <c r="C28" s="1237">
        <f>VLOOKUP("Result",Data!$A:$Y,7,FALSE)</f>
        <v>0</v>
      </c>
      <c r="D28" s="1238" t="s">
        <v>3922</v>
      </c>
      <c r="E28" s="1239" t="str">
        <f>VLOOKUP("Operand 1 Invert",Data!$A:$Y,7,FALSE)</f>
        <v>-</v>
      </c>
      <c r="F28" s="1240" t="str">
        <f>VLOOKUP("Src 1",Data!$A:$Y,7,FALSE)</f>
        <v>0</v>
      </c>
      <c r="G28" s="1240" t="str">
        <f>VLOOKUP("Operand 1 IO",Data!$A:$Y,7,FALSE)</f>
        <v>I</v>
      </c>
      <c r="H28" s="1241" t="str">
        <f>VLOOKUP("Fun 1",Data!$A:$Y,7,FALSE)</f>
        <v>OFF</v>
      </c>
      <c r="I28" s="2279" t="str">
        <f>VLOOKUP("Operator 1 Function",Data!$A:$Y,7,FALSE)</f>
        <v>----</v>
      </c>
      <c r="J28" s="2280"/>
      <c r="K28" s="1242" t="str">
        <f>VLOOKUP("Operand 2 Invert",Data!$A:$Y,7,FALSE)</f>
        <v>-</v>
      </c>
      <c r="L28" s="1243" t="str">
        <f>VLOOKUP("Src 2",Data!$A:$Y,7,FALSE)</f>
        <v>0</v>
      </c>
      <c r="M28" s="1243" t="str">
        <f>VLOOKUP("Operand 2 IO",Data!$A:$Y,7,FALSE)</f>
        <v>I</v>
      </c>
      <c r="N28" s="1244" t="str">
        <f>VLOOKUP("Fun 2",Data!$A:$Y,7,FALSE)</f>
        <v>OFF</v>
      </c>
      <c r="O28" s="2279" t="str">
        <f>VLOOKUP("Operator 2 Function",Data!$A:$Y,7,FALSE)</f>
        <v>----</v>
      </c>
      <c r="P28" s="2280"/>
      <c r="Q28" s="1239" t="str">
        <f>VLOOKUP("Operand 3 Invert",Data!$A:$Y,7,FALSE)</f>
        <v>-</v>
      </c>
      <c r="R28" s="1240" t="str">
        <f>VLOOKUP("Src 3",Data!$A:$Y,7,FALSE)</f>
        <v>0</v>
      </c>
      <c r="S28" s="1240" t="str">
        <f>VLOOKUP("Operand 3 IO",Data!$A:$Y,7,FALSE)</f>
        <v>I</v>
      </c>
      <c r="T28" s="1241" t="str">
        <f>VLOOKUP("Fun 3",Data!$A:$Y,7,FALSE)</f>
        <v>OFF</v>
      </c>
      <c r="U28" s="2279" t="str">
        <f>VLOOKUP("Operator 3 Function",Data!$A:$Y,7,FALSE)</f>
        <v>----</v>
      </c>
      <c r="V28" s="2280"/>
      <c r="W28" s="1245" t="str">
        <f>VLOOKUP("Time Operator",Data!$A:$Y,7,FALSE)</f>
        <v>DLY</v>
      </c>
      <c r="X28" s="1246">
        <f>VLOOKUP("Time",Data!$A:$Y,7,FALSE)</f>
        <v>0</v>
      </c>
      <c r="Y28" s="76">
        <v>5</v>
      </c>
      <c r="Z28" s="940">
        <f>VLOOKUP("Call Phase",Data!$A$1293:$Y$1293,6,FALSE)</f>
        <v>0</v>
      </c>
      <c r="AA28" s="841">
        <f>VLOOKUP("No Activity",Data!$A$1296:$Y$1296,6,FALSE)</f>
        <v>0</v>
      </c>
      <c r="AB28" s="841">
        <f>VLOOKUP("Max Presence",Data!$A$1295:$Y$1295,6,FALSE)</f>
        <v>0</v>
      </c>
      <c r="AC28" s="842">
        <f>VLOOKUP("Erratic Cnt",Data!$A$1294:$Y$1294,6,FALSE)</f>
        <v>0</v>
      </c>
      <c r="AD28" s="79"/>
    </row>
    <row r="29" spans="1:30" ht="14.4" thickBot="1">
      <c r="A29" s="1214">
        <v>7</v>
      </c>
      <c r="B29" s="1247" t="str">
        <f>VLOOKUP("Operand 1 Result",Data!$A:$Y,8,FALSE)</f>
        <v>I</v>
      </c>
      <c r="C29" s="1248">
        <f>VLOOKUP("Result",Data!$A:$Y,8,FALSE)</f>
        <v>0</v>
      </c>
      <c r="D29" s="1238" t="s">
        <v>3922</v>
      </c>
      <c r="E29" s="1249" t="str">
        <f>VLOOKUP("Operand 1 Invert",Data!$A:$Y,8,FALSE)</f>
        <v>-</v>
      </c>
      <c r="F29" s="1250" t="str">
        <f>VLOOKUP("Src 1",Data!$A:$Y,8,FALSE)</f>
        <v>0</v>
      </c>
      <c r="G29" s="1250" t="str">
        <f>VLOOKUP("Operand 1 IO",Data!$A:$Y,8,FALSE)</f>
        <v>I</v>
      </c>
      <c r="H29" s="1251" t="str">
        <f>VLOOKUP("Fun 1",Data!$A:$Y,8,FALSE)</f>
        <v>OFF</v>
      </c>
      <c r="I29" s="2277" t="str">
        <f>VLOOKUP("Operator 1 Function",Data!$A:$Y,8,FALSE)</f>
        <v>----</v>
      </c>
      <c r="J29" s="2278"/>
      <c r="K29" s="1252" t="str">
        <f>VLOOKUP("Operand 2 Invert",Data!$A:$Y,8,FALSE)</f>
        <v>-</v>
      </c>
      <c r="L29" s="1253" t="str">
        <f>VLOOKUP("Src 2",Data!$A:$Y,8,FALSE)</f>
        <v>0</v>
      </c>
      <c r="M29" s="1253" t="str">
        <f>VLOOKUP("Operand 2 IO",Data!$A:$Y,8,FALSE)</f>
        <v>I</v>
      </c>
      <c r="N29" s="1254" t="str">
        <f>VLOOKUP("Fun 2",Data!$A:$Y,8,FALSE)</f>
        <v>OFF</v>
      </c>
      <c r="O29" s="2277" t="str">
        <f>VLOOKUP("Operator 2 Function",Data!$A:$Y,8,FALSE)</f>
        <v>----</v>
      </c>
      <c r="P29" s="2278"/>
      <c r="Q29" s="1249" t="str">
        <f>VLOOKUP("Operand 3 Invert",Data!$A:$Y,8,FALSE)</f>
        <v>-</v>
      </c>
      <c r="R29" s="1250" t="str">
        <f>VLOOKUP("Src 3",Data!$A:$Y,8,FALSE)</f>
        <v>0</v>
      </c>
      <c r="S29" s="1250" t="str">
        <f>VLOOKUP("Operand 3 IO",Data!$A:$Y,8,FALSE)</f>
        <v>I</v>
      </c>
      <c r="T29" s="1251" t="str">
        <f>VLOOKUP("Fun 3",Data!$A:$Y,8,FALSE)</f>
        <v>OFF</v>
      </c>
      <c r="U29" s="2277" t="str">
        <f>VLOOKUP("Operator 3 Function",Data!$A:$Y,8,FALSE)</f>
        <v>----</v>
      </c>
      <c r="V29" s="2278"/>
      <c r="W29" s="1255" t="str">
        <f>VLOOKUP("Time Operator",Data!$A:$Y,8,FALSE)</f>
        <v>DLY</v>
      </c>
      <c r="X29" s="1256">
        <f>VLOOKUP("Time",Data!$A:$Y,8,FALSE)</f>
        <v>0</v>
      </c>
      <c r="Y29" s="76">
        <v>6</v>
      </c>
      <c r="Z29" s="939">
        <f>VLOOKUP("Call Phase",Data!$A$1293:$Y$1293,7,FALSE)</f>
        <v>6</v>
      </c>
      <c r="AA29" s="844">
        <f>VLOOKUP("No Activity",Data!$A$1296:$Y$1296,7,FALSE)</f>
        <v>0</v>
      </c>
      <c r="AB29" s="844">
        <f>VLOOKUP("Max Presence",Data!$A$1295:$Y$1295,7,FALSE)</f>
        <v>0</v>
      </c>
      <c r="AC29" s="845">
        <f>VLOOKUP("Erratic Cnt",Data!$A$1294:$Y$1294,7,FALSE)</f>
        <v>0</v>
      </c>
      <c r="AD29" s="79"/>
    </row>
    <row r="30" spans="1:30" ht="14.4" thickBot="1">
      <c r="A30" s="1214">
        <v>8</v>
      </c>
      <c r="B30" s="1236" t="str">
        <f>VLOOKUP("Operand 1 Result",Data!$A:$Y,9,FALSE)</f>
        <v>I</v>
      </c>
      <c r="C30" s="1237">
        <f>VLOOKUP("Result",Data!$A:$Y,9,FALSE)</f>
        <v>0</v>
      </c>
      <c r="D30" s="1238" t="s">
        <v>3922</v>
      </c>
      <c r="E30" s="1239" t="str">
        <f>VLOOKUP("Operand 1 Invert",Data!$A:$Y,9,FALSE)</f>
        <v>-</v>
      </c>
      <c r="F30" s="1240" t="str">
        <f>VLOOKUP("Src 1",Data!$A:$Y,9,FALSE)</f>
        <v>0</v>
      </c>
      <c r="G30" s="1240" t="str">
        <f>VLOOKUP("Operand 1 IO",Data!$A:$Y,9,FALSE)</f>
        <v>I</v>
      </c>
      <c r="H30" s="1241" t="str">
        <f>VLOOKUP("Fun 1",Data!$A:$Y,9,FALSE)</f>
        <v>OFF</v>
      </c>
      <c r="I30" s="2279" t="str">
        <f>VLOOKUP("Operator 1 Function",Data!$A:$Y,9,FALSE)</f>
        <v>----</v>
      </c>
      <c r="J30" s="2280"/>
      <c r="K30" s="1242" t="str">
        <f>VLOOKUP("Operand 2 Invert",Data!$A:$Y,9,FALSE)</f>
        <v>-</v>
      </c>
      <c r="L30" s="1243" t="str">
        <f>VLOOKUP("Src 2",Data!$A:$Y,9,FALSE)</f>
        <v>0</v>
      </c>
      <c r="M30" s="1243" t="str">
        <f>VLOOKUP("Operand 2 IO",Data!$A:$Y,9,FALSE)</f>
        <v>I</v>
      </c>
      <c r="N30" s="1244" t="str">
        <f>VLOOKUP("Fun 2",Data!$A:$Y,9,FALSE)</f>
        <v>OFF</v>
      </c>
      <c r="O30" s="2279" t="str">
        <f>VLOOKUP("Operator 2 Function",Data!$A:$Y,9,FALSE)</f>
        <v>----</v>
      </c>
      <c r="P30" s="2280"/>
      <c r="Q30" s="1239" t="str">
        <f>VLOOKUP("Operand 3 Invert",Data!$A:$Y,9,FALSE)</f>
        <v>-</v>
      </c>
      <c r="R30" s="1240" t="str">
        <f>VLOOKUP("Src 3",Data!$A:$Y,9,FALSE)</f>
        <v>0</v>
      </c>
      <c r="S30" s="1240" t="str">
        <f>VLOOKUP("Operand 3 IO",Data!$A:$Y,9,FALSE)</f>
        <v>I</v>
      </c>
      <c r="T30" s="1241" t="str">
        <f>VLOOKUP("Fun 3",Data!$A:$Y,9,FALSE)</f>
        <v>OFF</v>
      </c>
      <c r="U30" s="2279" t="str">
        <f>VLOOKUP("Operator 3 Function",Data!$A:$Y,9,FALSE)</f>
        <v>----</v>
      </c>
      <c r="V30" s="2280"/>
      <c r="W30" s="1245" t="str">
        <f>VLOOKUP("Time Operator",Data!$A:$Y,9,FALSE)</f>
        <v>DLY</v>
      </c>
      <c r="X30" s="1246">
        <f>VLOOKUP("Time",Data!$A:$Y,9,FALSE)</f>
        <v>0</v>
      </c>
      <c r="Y30" s="76">
        <v>7</v>
      </c>
      <c r="Z30" s="940">
        <f>VLOOKUP("Call Phase",Data!$A$1293:$Y$1293,8,FALSE)</f>
        <v>0</v>
      </c>
      <c r="AA30" s="841">
        <f>VLOOKUP("No Activity",Data!$A$1296:$Y$1296,8,FALSE)</f>
        <v>0</v>
      </c>
      <c r="AB30" s="841">
        <f>VLOOKUP("Max Presence",Data!$A$1295:$Y$1295,8,FALSE)</f>
        <v>0</v>
      </c>
      <c r="AC30" s="842">
        <f>VLOOKUP("Erratic Cnt",Data!$A$1294:$Y$1294,8,FALSE)</f>
        <v>0</v>
      </c>
      <c r="AD30" s="79"/>
    </row>
    <row r="31" spans="1:30" ht="14.4" thickBot="1">
      <c r="A31" s="1214">
        <v>9</v>
      </c>
      <c r="B31" s="1247" t="str">
        <f>VLOOKUP("Operand 1 Result",Data!$A:$Y,10,FALSE)</f>
        <v>I</v>
      </c>
      <c r="C31" s="1248">
        <f>VLOOKUP("Result",Data!$A:$Y,10,FALSE)</f>
        <v>0</v>
      </c>
      <c r="D31" s="1238" t="s">
        <v>3922</v>
      </c>
      <c r="E31" s="1249" t="str">
        <f>VLOOKUP("Operand 1 Invert",Data!$A:$Y,10,FALSE)</f>
        <v>-</v>
      </c>
      <c r="F31" s="1250" t="str">
        <f>VLOOKUP("Src 1",Data!$A:$Y,10,FALSE)</f>
        <v>0</v>
      </c>
      <c r="G31" s="1250" t="str">
        <f>VLOOKUP("Operand 1 IO",Data!$A:$Y,10,FALSE)</f>
        <v>I</v>
      </c>
      <c r="H31" s="1251" t="str">
        <f>VLOOKUP("Fun 1",Data!$A:$Y,10,FALSE)</f>
        <v>OFF</v>
      </c>
      <c r="I31" s="2277" t="str">
        <f>VLOOKUP("Operator 1 Function",Data!$A:$Y,10,FALSE)</f>
        <v>----</v>
      </c>
      <c r="J31" s="2278"/>
      <c r="K31" s="1252" t="str">
        <f>VLOOKUP("Operand 2 Invert",Data!$A:$Y,10,FALSE)</f>
        <v>-</v>
      </c>
      <c r="L31" s="1253" t="str">
        <f>VLOOKUP("Src 2",Data!$A:$Y,10,FALSE)</f>
        <v>0</v>
      </c>
      <c r="M31" s="1253" t="str">
        <f>VLOOKUP("Operand 2 IO",Data!$A:$Y,10,FALSE)</f>
        <v>I</v>
      </c>
      <c r="N31" s="1254" t="str">
        <f>VLOOKUP("Fun 2",Data!$A:$Y,10,FALSE)</f>
        <v>OFF</v>
      </c>
      <c r="O31" s="2277" t="str">
        <f>VLOOKUP("Operator 2 Function",Data!$A:$Y,10,FALSE)</f>
        <v>----</v>
      </c>
      <c r="P31" s="2278"/>
      <c r="Q31" s="1249" t="str">
        <f>VLOOKUP("Operand 3 Invert",Data!$A:$Y,10,FALSE)</f>
        <v>-</v>
      </c>
      <c r="R31" s="1250" t="str">
        <f>VLOOKUP("Src 3",Data!$A:$Y,10,FALSE)</f>
        <v>0</v>
      </c>
      <c r="S31" s="1250" t="str">
        <f>VLOOKUP("Operand 3 IO",Data!$A:$Y,10,FALSE)</f>
        <v>I</v>
      </c>
      <c r="T31" s="1251" t="str">
        <f>VLOOKUP("Fun 3",Data!$A:$Y,10,FALSE)</f>
        <v>OFF</v>
      </c>
      <c r="U31" s="2277" t="str">
        <f>VLOOKUP("Operator 3 Function",Data!$A:$Y,10,FALSE)</f>
        <v>----</v>
      </c>
      <c r="V31" s="2278"/>
      <c r="W31" s="1255" t="str">
        <f>VLOOKUP("Time Operator",Data!$A:$Y,10,FALSE)</f>
        <v>DLY</v>
      </c>
      <c r="X31" s="1256">
        <f>VLOOKUP("Time",Data!$A:$Y,10,FALSE)</f>
        <v>0</v>
      </c>
      <c r="Y31" s="223">
        <v>8</v>
      </c>
      <c r="Z31" s="981">
        <f>VLOOKUP("Call Phase",Data!$A$1293:$Y$1293,9,FALSE)</f>
        <v>8</v>
      </c>
      <c r="AA31" s="982">
        <f>VLOOKUP("No Activity",Data!$A$1296:$Y$1296,9,FALSE)</f>
        <v>0</v>
      </c>
      <c r="AB31" s="982">
        <f>VLOOKUP("Max Presence",Data!$A$1295:$Y$1295,9,FALSE)</f>
        <v>0</v>
      </c>
      <c r="AC31" s="983">
        <f>VLOOKUP("Erratic Cnt",Data!$A$1294:$Y$1294,9,FALSE)</f>
        <v>0</v>
      </c>
      <c r="AD31" s="79"/>
    </row>
    <row r="32" spans="1:30" ht="14.4" thickBot="1">
      <c r="A32" s="1215">
        <v>10</v>
      </c>
      <c r="B32" s="1257" t="str">
        <f>VLOOKUP("Operand 1 Result",Data!$A:$Y,11,FALSE)</f>
        <v>I</v>
      </c>
      <c r="C32" s="1258">
        <f>VLOOKUP("Result",Data!$A:$Y,11,FALSE)</f>
        <v>0</v>
      </c>
      <c r="D32" s="1259" t="s">
        <v>3922</v>
      </c>
      <c r="E32" s="1260" t="str">
        <f>VLOOKUP("Operand 1 Invert",Data!$A:$Y,11,FALSE)</f>
        <v>-</v>
      </c>
      <c r="F32" s="1261" t="str">
        <f>VLOOKUP("Src 1",Data!$A:$Y,11,FALSE)</f>
        <v>0</v>
      </c>
      <c r="G32" s="1261" t="str">
        <f>VLOOKUP("Operand 1 IO",Data!$A:$Y,11,FALSE)</f>
        <v>I</v>
      </c>
      <c r="H32" s="1262" t="str">
        <f>VLOOKUP("Fun 1",Data!$A:$Y,11,FALSE)</f>
        <v>OFF</v>
      </c>
      <c r="I32" s="2292" t="str">
        <f>VLOOKUP("Operator 1 Function",Data!$A:$Y,11,FALSE)</f>
        <v>----</v>
      </c>
      <c r="J32" s="2293"/>
      <c r="K32" s="1263" t="str">
        <f>VLOOKUP("Operand 2 Invert",Data!$A:$Y,11,FALSE)</f>
        <v>-</v>
      </c>
      <c r="L32" s="1264" t="str">
        <f>VLOOKUP("Src 2",Data!$A:$Y,11,FALSE)</f>
        <v>0</v>
      </c>
      <c r="M32" s="1264" t="str">
        <f>VLOOKUP("Operand 2 IO",Data!$A:$Y,11,FALSE)</f>
        <v>I</v>
      </c>
      <c r="N32" s="1265" t="str">
        <f>VLOOKUP("Fun 2",Data!$A:$Y,11,FALSE)</f>
        <v>OFF</v>
      </c>
      <c r="O32" s="2292" t="str">
        <f>VLOOKUP("Operator 2 Function",Data!$A:$Y,11,FALSE)</f>
        <v>----</v>
      </c>
      <c r="P32" s="2293"/>
      <c r="Q32" s="1260" t="str">
        <f>VLOOKUP("Operand 3 Invert",Data!$A:$Y,11,FALSE)</f>
        <v>-</v>
      </c>
      <c r="R32" s="1261" t="str">
        <f>VLOOKUP("Src 3",Data!$A:$Y,11,FALSE)</f>
        <v>0</v>
      </c>
      <c r="S32" s="1261" t="str">
        <f>VLOOKUP("Operand 3 IO",Data!$A:$Y,11,FALSE)</f>
        <v>I</v>
      </c>
      <c r="T32" s="1262" t="str">
        <f>VLOOKUP("Fun 3",Data!$A:$Y,11,FALSE)</f>
        <v>OFF</v>
      </c>
      <c r="U32" s="2292" t="str">
        <f>VLOOKUP("Operator 3 Function",Data!$A:$Y,11,FALSE)</f>
        <v>----</v>
      </c>
      <c r="V32" s="2293"/>
      <c r="W32" s="1266" t="str">
        <f>VLOOKUP("Time Operator",Data!$A:$Y,11,FALSE)</f>
        <v>DLY</v>
      </c>
      <c r="X32" s="1267">
        <f>VLOOKUP("Time",Data!$A:$Y,11,FALSE)</f>
        <v>0</v>
      </c>
      <c r="Y32" s="2281" t="s">
        <v>3961</v>
      </c>
      <c r="Z32" s="2282"/>
      <c r="AA32" s="2282"/>
      <c r="AB32" s="2282"/>
      <c r="AC32" s="2283"/>
    </row>
    <row r="33" spans="1:30" ht="13.8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450"/>
      <c r="S33" s="450"/>
      <c r="T33" s="450"/>
      <c r="W33" s="449"/>
      <c r="X33" s="449"/>
      <c r="Y33" s="449"/>
    </row>
    <row r="34" spans="1:30" ht="13.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30" ht="13.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45" spans="1:30">
      <c r="A45" s="71"/>
    </row>
    <row r="46" spans="1:30">
      <c r="AD46" s="79"/>
    </row>
  </sheetData>
  <mergeCells count="87">
    <mergeCell ref="I30:J30"/>
    <mergeCell ref="I31:J31"/>
    <mergeCell ref="I32:J32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I25:J25"/>
    <mergeCell ref="I26:J26"/>
    <mergeCell ref="I27:J27"/>
    <mergeCell ref="I28:J28"/>
    <mergeCell ref="I29:J29"/>
    <mergeCell ref="K21:P21"/>
    <mergeCell ref="I22:J22"/>
    <mergeCell ref="I23:J23"/>
    <mergeCell ref="I24:J24"/>
    <mergeCell ref="J17:M17"/>
    <mergeCell ref="A10:F10"/>
    <mergeCell ref="G10:H10"/>
    <mergeCell ref="A16:F16"/>
    <mergeCell ref="A17:F17"/>
    <mergeCell ref="G16:H16"/>
    <mergeCell ref="G17:H17"/>
    <mergeCell ref="G15:H15"/>
    <mergeCell ref="A15:F15"/>
    <mergeCell ref="J15:M15"/>
    <mergeCell ref="U2:AB2"/>
    <mergeCell ref="A3:D3"/>
    <mergeCell ref="A4:D4"/>
    <mergeCell ref="A6:D6"/>
    <mergeCell ref="J16:M16"/>
    <mergeCell ref="E8:L8"/>
    <mergeCell ref="M8:T8"/>
    <mergeCell ref="A9:H9"/>
    <mergeCell ref="A1:AC1"/>
    <mergeCell ref="J13:M13"/>
    <mergeCell ref="J14:M14"/>
    <mergeCell ref="A7:D7"/>
    <mergeCell ref="G11:H11"/>
    <mergeCell ref="J9:AC9"/>
    <mergeCell ref="J10:M10"/>
    <mergeCell ref="J11:M11"/>
    <mergeCell ref="J12:M12"/>
    <mergeCell ref="G13:H13"/>
    <mergeCell ref="A13:F13"/>
    <mergeCell ref="G12:H12"/>
    <mergeCell ref="A12:F12"/>
    <mergeCell ref="A11:F11"/>
    <mergeCell ref="A5:D5"/>
    <mergeCell ref="A2:T2"/>
    <mergeCell ref="K18:L18"/>
    <mergeCell ref="Q18:AB18"/>
    <mergeCell ref="E21:J21"/>
    <mergeCell ref="Q21:V21"/>
    <mergeCell ref="AA22:AA23"/>
    <mergeCell ref="AB22:AB23"/>
    <mergeCell ref="A18:F18"/>
    <mergeCell ref="A19:F19"/>
    <mergeCell ref="G18:H18"/>
    <mergeCell ref="G19:H19"/>
    <mergeCell ref="A21:A22"/>
    <mergeCell ref="B21:C21"/>
    <mergeCell ref="W21:X21"/>
    <mergeCell ref="Y22:Y23"/>
    <mergeCell ref="Z22:Z23"/>
    <mergeCell ref="AA20:AC20"/>
    <mergeCell ref="U25:V25"/>
    <mergeCell ref="U26:V26"/>
    <mergeCell ref="U27:V27"/>
    <mergeCell ref="Y32:AC32"/>
    <mergeCell ref="Y20:Z20"/>
    <mergeCell ref="AC22:AC23"/>
    <mergeCell ref="U22:V22"/>
    <mergeCell ref="U23:V23"/>
    <mergeCell ref="U24:V24"/>
    <mergeCell ref="U28:V28"/>
    <mergeCell ref="U29:V29"/>
    <mergeCell ref="U30:V30"/>
    <mergeCell ref="U31:V31"/>
    <mergeCell ref="U32:V32"/>
  </mergeCells>
  <conditionalFormatting sqref="Y24:Y27 E4:AB7 N11:N12">
    <cfRule type="cellIs" dxfId="11" priority="7" stopIfTrue="1" operator="equal">
      <formula>0</formula>
    </cfRule>
  </conditionalFormatting>
  <conditionalFormatting sqref="AA22:AC22">
    <cfRule type="cellIs" dxfId="10" priority="6" stopIfTrue="1" operator="equal">
      <formula>0</formula>
    </cfRule>
  </conditionalFormatting>
  <printOptions horizontalCentered="1" verticalCentered="1"/>
  <pageMargins left="0.12" right="0.12" top="0.12" bottom="0.12" header="0.5" footer="0.5"/>
  <pageSetup scale="118" orientation="landscape" horizontalDpi="525" verticalDpi="52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indexed="43"/>
  </sheetPr>
  <dimension ref="A1:BG258"/>
  <sheetViews>
    <sheetView zoomScaleNormal="100" zoomScaleSheetLayoutView="100" workbookViewId="0">
      <selection activeCell="AC6" sqref="AC6"/>
    </sheetView>
  </sheetViews>
  <sheetFormatPr defaultColWidth="9.109375" defaultRowHeight="21.9" customHeight="1"/>
  <cols>
    <col min="1" max="1" width="4.109375" style="91" customWidth="1"/>
    <col min="2" max="2" width="5.6640625" style="341" customWidth="1"/>
    <col min="3" max="24" width="4.5546875" style="91" customWidth="1"/>
    <col min="25" max="26" width="3" style="91" customWidth="1"/>
    <col min="27" max="27" width="5.6640625" style="92" customWidth="1"/>
    <col min="28" max="28" width="4" style="91" customWidth="1"/>
    <col min="29" max="29" width="7" style="92" customWidth="1"/>
    <col min="30" max="30" width="4.5546875" style="91" customWidth="1"/>
    <col min="31" max="32" width="3" style="91" customWidth="1"/>
    <col min="33" max="33" width="3.109375" style="91" customWidth="1"/>
    <col min="34" max="37" width="3" style="91" customWidth="1"/>
    <col min="38" max="38" width="2.6640625" style="91" customWidth="1"/>
    <col min="39" max="39" width="2.44140625" style="91" customWidth="1"/>
    <col min="40" max="40" width="2.109375" style="91" customWidth="1"/>
    <col min="41" max="41" width="2.44140625" style="91" customWidth="1"/>
    <col min="42" max="42" width="3" style="91" customWidth="1"/>
    <col min="43" max="43" width="7.33203125" style="91" customWidth="1"/>
    <col min="44" max="44" width="5.44140625" style="91" customWidth="1"/>
    <col min="45" max="46" width="3" style="91" customWidth="1"/>
    <col min="47" max="47" width="9.109375" style="91" hidden="1" customWidth="1"/>
    <col min="48" max="16384" width="9.109375" style="91"/>
  </cols>
  <sheetData>
    <row r="1" spans="1:59" s="82" customFormat="1" ht="12.6" customHeight="1">
      <c r="A1" s="351" t="s">
        <v>291</v>
      </c>
      <c r="B1" s="342"/>
      <c r="C1" s="224"/>
      <c r="D1" s="224"/>
      <c r="E1" s="224"/>
      <c r="F1" s="224"/>
      <c r="G1" s="224"/>
      <c r="H1" s="224"/>
      <c r="I1" s="224"/>
      <c r="J1" s="224"/>
      <c r="K1" s="288"/>
      <c r="L1" s="349" t="s">
        <v>292</v>
      </c>
      <c r="M1" s="224"/>
      <c r="N1" s="224"/>
      <c r="O1" s="224"/>
      <c r="P1" s="224"/>
      <c r="Q1" s="224"/>
      <c r="R1" s="224"/>
      <c r="S1" s="224"/>
      <c r="T1" s="225"/>
      <c r="U1" s="350" t="s">
        <v>293</v>
      </c>
      <c r="V1" s="226"/>
      <c r="W1" s="226"/>
      <c r="X1" s="227"/>
      <c r="Y1" s="227"/>
      <c r="Z1" s="227"/>
      <c r="AA1" s="228"/>
      <c r="AB1" s="289"/>
      <c r="AC1" s="2429" t="s">
        <v>294</v>
      </c>
      <c r="AD1" s="229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 s="80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</row>
    <row r="2" spans="1:59" s="82" customFormat="1" ht="12.6" customHeight="1" thickBot="1">
      <c r="A2" s="83" t="s">
        <v>57</v>
      </c>
      <c r="B2" s="339" t="s">
        <v>440</v>
      </c>
      <c r="C2" s="828" t="s">
        <v>108</v>
      </c>
      <c r="D2" s="828" t="s">
        <v>295</v>
      </c>
      <c r="E2" s="2425" t="s">
        <v>296</v>
      </c>
      <c r="F2" s="2425" t="s">
        <v>297</v>
      </c>
      <c r="G2" s="2425" t="s">
        <v>298</v>
      </c>
      <c r="H2" s="828" t="s">
        <v>287</v>
      </c>
      <c r="I2" s="828" t="s">
        <v>23</v>
      </c>
      <c r="J2" s="828" t="s">
        <v>288</v>
      </c>
      <c r="K2" s="264" t="s">
        <v>299</v>
      </c>
      <c r="L2" s="337" t="s">
        <v>57</v>
      </c>
      <c r="M2" s="2432" t="s">
        <v>108</v>
      </c>
      <c r="N2" s="2425" t="s">
        <v>297</v>
      </c>
      <c r="O2" s="2425" t="s">
        <v>298</v>
      </c>
      <c r="P2" s="828" t="s">
        <v>300</v>
      </c>
      <c r="Q2" s="828" t="s">
        <v>52</v>
      </c>
      <c r="R2" s="828" t="s">
        <v>301</v>
      </c>
      <c r="S2" s="2425" t="s">
        <v>302</v>
      </c>
      <c r="T2" s="2427" t="s">
        <v>303</v>
      </c>
      <c r="U2" s="83" t="s">
        <v>57</v>
      </c>
      <c r="V2" s="2431" t="s">
        <v>109</v>
      </c>
      <c r="W2" s="2423"/>
      <c r="X2" s="2424"/>
      <c r="Y2" s="2423" t="s">
        <v>19</v>
      </c>
      <c r="Z2" s="2424"/>
      <c r="AA2" s="2425" t="s">
        <v>49</v>
      </c>
      <c r="AB2" s="2427" t="s">
        <v>33</v>
      </c>
      <c r="AC2" s="2430"/>
      <c r="AD2" s="230" t="s">
        <v>57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s="82" customFormat="1" ht="12.6" customHeight="1" thickBot="1">
      <c r="A3" s="84" t="s">
        <v>304</v>
      </c>
      <c r="B3" s="340" t="s">
        <v>772</v>
      </c>
      <c r="C3" s="829" t="s">
        <v>305</v>
      </c>
      <c r="D3" s="829" t="s">
        <v>305</v>
      </c>
      <c r="E3" s="2426"/>
      <c r="F3" s="2426"/>
      <c r="G3" s="2426"/>
      <c r="H3" s="829" t="s">
        <v>59</v>
      </c>
      <c r="I3" s="829" t="s">
        <v>289</v>
      </c>
      <c r="J3" s="829" t="s">
        <v>290</v>
      </c>
      <c r="K3" s="265" t="s">
        <v>127</v>
      </c>
      <c r="L3" s="291" t="s">
        <v>304</v>
      </c>
      <c r="M3" s="2433"/>
      <c r="N3" s="2426"/>
      <c r="O3" s="2426"/>
      <c r="P3" s="829" t="s">
        <v>306</v>
      </c>
      <c r="Q3" s="829" t="s">
        <v>259</v>
      </c>
      <c r="R3" s="829" t="s">
        <v>259</v>
      </c>
      <c r="S3" s="2426"/>
      <c r="T3" s="2428"/>
      <c r="U3" s="291" t="s">
        <v>304</v>
      </c>
      <c r="V3" s="147" t="s">
        <v>258</v>
      </c>
      <c r="W3" s="85" t="s">
        <v>307</v>
      </c>
      <c r="X3" s="85" t="s">
        <v>308</v>
      </c>
      <c r="Y3" s="147">
        <v>1</v>
      </c>
      <c r="Z3" s="85">
        <v>2</v>
      </c>
      <c r="AA3" s="2426"/>
      <c r="AB3" s="2428"/>
      <c r="AC3" s="232" t="s">
        <v>656</v>
      </c>
      <c r="AD3" s="231" t="s">
        <v>304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</row>
    <row r="4" spans="1:59" s="82" customFormat="1" ht="12.6" customHeight="1" thickTop="1">
      <c r="A4" s="217">
        <v>1</v>
      </c>
      <c r="B4" s="486" t="s">
        <v>773</v>
      </c>
      <c r="C4" s="797">
        <f>VLOOKUP("Call Phase",Data!$A$2837:$AT$2837,2,FALSE)</f>
        <v>1</v>
      </c>
      <c r="D4" s="798">
        <f>VLOOKUP("Switch Phase",Data!$A$2849:$AT$2849,2,FALSE)</f>
        <v>0</v>
      </c>
      <c r="E4" s="799">
        <f>VLOOKUP("Delay Time",Data!$A$2838:$AT$2838,2,FALSE)</f>
        <v>0</v>
      </c>
      <c r="F4" s="799">
        <f>VLOOKUP("Extend Time",Data!$A$2841:$AT$2841,2,FALSE)</f>
        <v>0</v>
      </c>
      <c r="G4" s="799">
        <f>VLOOKUP("Queue Limit",Data!$A$2847:$AT$2847,2,FALSE)</f>
        <v>0</v>
      </c>
      <c r="H4" s="799">
        <f>VLOOKUP("No Activity",Data!$A$2844:$AT$2844,2,FALSE)</f>
        <v>0</v>
      </c>
      <c r="I4" s="799">
        <f>VLOOKUP("Max Presence",Data!$A$2843:$AT$2843,2,FALSE)</f>
        <v>0</v>
      </c>
      <c r="J4" s="799">
        <f>VLOOKUP("Erratic Counts",Data!$A$2839:$AT$2839,2,FALSE)</f>
        <v>0</v>
      </c>
      <c r="K4" s="800">
        <f>VLOOKUP("Fail Time",Data!$A$2842:$AT$2842,2,FALSE)</f>
        <v>255</v>
      </c>
      <c r="L4" s="336">
        <v>1</v>
      </c>
      <c r="M4" s="814" t="s">
        <v>34</v>
      </c>
      <c r="N4" s="799" t="s">
        <v>34</v>
      </c>
      <c r="O4" s="799" t="str">
        <f>IF(VLOOKUP("Queue",Data!$A$2846:$AT$2846,2,FALSE)= "On", "X", "-")</f>
        <v>-</v>
      </c>
      <c r="P4" s="799" t="str">
        <f>IF(VLOOKUP("Added Initial",Data!$A$2835:$AT$2835,2,FALSE)= "On", "X", "-")</f>
        <v>-</v>
      </c>
      <c r="Q4" s="799" t="str">
        <f>IF(VLOOKUP("Red Lock",Data!$A$2848:$AT$2848,2,FALSE)= "On", "X", "-")</f>
        <v>-</v>
      </c>
      <c r="R4" s="799" t="str">
        <f>IF(VLOOKUP("Yellow Lock",Data!$A$2851:$AT$2851,2,FALSE)= "On", "X", "-")</f>
        <v>-</v>
      </c>
      <c r="S4" s="799" t="str">
        <f>IF(VLOOKUP("Occupancy",Data!$A$2845:$AT$2845,2,FALSE)= "On", "X", "-")</f>
        <v>-</v>
      </c>
      <c r="T4" s="815" t="s">
        <v>34</v>
      </c>
      <c r="U4" s="292">
        <v>1</v>
      </c>
      <c r="V4" s="817" t="str">
        <f>IF(VLOOKUP("Green Occupancy",Data!$A$2942:$AT$2942,2,FALSE)="On", "X", "-")</f>
        <v>X</v>
      </c>
      <c r="W4" s="799" t="str">
        <f>IF(VLOOKUP("Yellow Occupancy",Data!$A$2945:$AT$2945,2,FALSE)="On", "X", "-")</f>
        <v>X</v>
      </c>
      <c r="X4" s="799" t="str">
        <f>IF(VLOOKUP("Red Occupancy",Data!$A$2943:$AT$2943,2,FALSE)="On", "X", "-")</f>
        <v>-</v>
      </c>
      <c r="Y4" s="799">
        <f>VLOOKUP("Delay Phase 1",Data!$A$2939:$AT$2939,2,FALSE)</f>
        <v>0</v>
      </c>
      <c r="Z4" s="799">
        <f>VLOOKUP("Delay Phase 2",Data!$A$2940:$AT$2940,2,FALSE)</f>
        <v>0</v>
      </c>
      <c r="AA4" s="946" t="str">
        <f>VLOOKUP("External Mode",Data!$A$2937:$AT$2946,2,FALSE)</f>
        <v>NORM</v>
      </c>
      <c r="AB4" s="944">
        <f>VLOOKUP("Source",Data!$A$2937:$AT$2946,2,FALSE)</f>
        <v>0</v>
      </c>
      <c r="AC4" s="822" t="s">
        <v>34</v>
      </c>
      <c r="AD4" s="285">
        <v>1</v>
      </c>
      <c r="AE4" s="79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U4" s="81" t="s">
        <v>749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1:59" s="82" customFormat="1" ht="12.6" customHeight="1">
      <c r="A5" s="218">
        <v>2</v>
      </c>
      <c r="B5" s="485" t="s">
        <v>774</v>
      </c>
      <c r="C5" s="801">
        <f>VLOOKUP("Call Phase",Data!$A$2837:$AT$2837,3,FALSE)</f>
        <v>2</v>
      </c>
      <c r="D5" s="802">
        <f>VLOOKUP("Switch Phase",Data!$A$2849:$AT$2849,3,FALSE)</f>
        <v>0</v>
      </c>
      <c r="E5" s="803">
        <f>VLOOKUP("Delay Time",Data!$A$2838:$AT$2838,3,FALSE)</f>
        <v>0</v>
      </c>
      <c r="F5" s="803">
        <f>VLOOKUP("Extend Time",Data!$A$2841:$AT$2841,3,FALSE)</f>
        <v>0</v>
      </c>
      <c r="G5" s="803">
        <f>VLOOKUP("Queue Limit",Data!$A$2847:$AT$2847,3,FALSE)</f>
        <v>0</v>
      </c>
      <c r="H5" s="803">
        <f>VLOOKUP("No Activity",Data!$A$2844:$AT$2844,3,FALSE)</f>
        <v>0</v>
      </c>
      <c r="I5" s="803">
        <f>VLOOKUP("Max Presence",Data!$A$2843:$AT$2843,3,FALSE)</f>
        <v>0</v>
      </c>
      <c r="J5" s="803">
        <f>VLOOKUP("Erratic Counts",Data!$A$2839:$AT$2839,3,FALSE)</f>
        <v>0</v>
      </c>
      <c r="K5" s="804">
        <f>VLOOKUP("Fail Time",Data!$A$2842:$AT$2842,3,FALSE)</f>
        <v>255</v>
      </c>
      <c r="L5" s="293">
        <v>2</v>
      </c>
      <c r="M5" s="812" t="s">
        <v>34</v>
      </c>
      <c r="N5" s="803" t="s">
        <v>34</v>
      </c>
      <c r="O5" s="803" t="str">
        <f>IF(VLOOKUP("Queue",Data!$A$2846:$AT$2846,3,FALSE)= "On", "X", "-")</f>
        <v>-</v>
      </c>
      <c r="P5" s="803" t="str">
        <f>IF(VLOOKUP("Added Initial",Data!$A$2835:$AT$2835,3,FALSE)= "On", "X", "-")</f>
        <v>-</v>
      </c>
      <c r="Q5" s="803" t="str">
        <f>IF(VLOOKUP("Red Lock",Data!$A$2848:$AT$2848,3,FALSE)= "On", "X", "-")</f>
        <v>-</v>
      </c>
      <c r="R5" s="803" t="str">
        <f>IF(VLOOKUP("Yellow Lock",Data!$A$2851:$AT$2851,3,FALSE)= "On", "X", "-")</f>
        <v>-</v>
      </c>
      <c r="S5" s="803" t="s">
        <v>34</v>
      </c>
      <c r="T5" s="804" t="s">
        <v>34</v>
      </c>
      <c r="U5" s="293">
        <v>2</v>
      </c>
      <c r="V5" s="812" t="str">
        <f>IF(VLOOKUP("Green Occupancy",Data!$A$2942:$AT$2942,3,FALSE)="On", "X", "-")</f>
        <v>X</v>
      </c>
      <c r="W5" s="803" t="str">
        <f>IF(VLOOKUP("Yellow Occupancy",Data!$A$2945:$AT$2945,3,FALSE)="On", "X", "-")</f>
        <v>X</v>
      </c>
      <c r="X5" s="803" t="str">
        <f>IF(VLOOKUP("Red Occupancy",Data!$A$2943:$AT$2943,3,FALSE)="On", "X", "-")</f>
        <v>-</v>
      </c>
      <c r="Y5" s="803">
        <f>VLOOKUP("Delay Phase 1",Data!$A$2939:$AT$2939,3,FALSE)</f>
        <v>0</v>
      </c>
      <c r="Z5" s="803">
        <f>VLOOKUP("Delay Phase 2",Data!$A$2940:$AT$2940,3,FALSE)</f>
        <v>0</v>
      </c>
      <c r="AA5" s="947" t="str">
        <f>VLOOKUP("External Mode",Data!$A$2937:$AT$2946,3,FALSE)</f>
        <v>NORM</v>
      </c>
      <c r="AB5" s="804">
        <f>VLOOKUP("Source",Data!$A$2937:$AT$2946,3,FALSE)</f>
        <v>0</v>
      </c>
      <c r="AC5" s="823" t="str">
        <f>VLOOKUP("Direction",Data!$A$208:$AT$211,3,FALSE)</f>
        <v xml:space="preserve"> </v>
      </c>
      <c r="AD5" s="286">
        <v>2</v>
      </c>
      <c r="AE5" s="79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U5" s="81" t="s">
        <v>744</v>
      </c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59" s="82" customFormat="1" ht="12.6" customHeight="1">
      <c r="A6" s="218">
        <v>3</v>
      </c>
      <c r="B6" s="485" t="s">
        <v>775</v>
      </c>
      <c r="C6" s="801">
        <f>VLOOKUP("Call Phase",Data!$A$2837:$AT$2837,4,FALSE)</f>
        <v>2</v>
      </c>
      <c r="D6" s="802">
        <f>VLOOKUP("Switch Phase",Data!$A$2849:$AT$2849,4,FALSE)</f>
        <v>0</v>
      </c>
      <c r="E6" s="803">
        <f>VLOOKUP("Delay Time",Data!$A$2838:$AT$2838,4,FALSE)</f>
        <v>0</v>
      </c>
      <c r="F6" s="803" t="s">
        <v>34</v>
      </c>
      <c r="G6" s="803">
        <f>VLOOKUP("Queue Limit",Data!$A$2847:$AT$2847,4,FALSE)</f>
        <v>0</v>
      </c>
      <c r="H6" s="803">
        <f>VLOOKUP("No Activity",Data!$A$2844:$AT$2844,4,FALSE)</f>
        <v>0</v>
      </c>
      <c r="I6" s="803">
        <f>VLOOKUP("Max Presence",Data!$A$2843:$AT$2843,4,FALSE)</f>
        <v>0</v>
      </c>
      <c r="J6" s="803">
        <f>VLOOKUP("Erratic Counts",Data!$A$2839:$AT$2839,4,FALSE)</f>
        <v>0</v>
      </c>
      <c r="K6" s="804">
        <f>VLOOKUP("Fail Time",Data!$A$2842:$AT$2842,4,FALSE)</f>
        <v>255</v>
      </c>
      <c r="L6" s="293">
        <v>3</v>
      </c>
      <c r="M6" s="812" t="s">
        <v>34</v>
      </c>
      <c r="N6" s="803" t="s">
        <v>34</v>
      </c>
      <c r="O6" s="803" t="str">
        <f>IF(VLOOKUP("Queue",Data!$A$2846:$AT$2846,4,FALSE)= "On", "X", "-")</f>
        <v>-</v>
      </c>
      <c r="P6" s="803" t="str">
        <f>IF(VLOOKUP("Added Initial",Data!$A$2835:$AT$2835,4,FALSE)= "On", "X", "-")</f>
        <v>-</v>
      </c>
      <c r="Q6" s="803" t="str">
        <f>IF(VLOOKUP("Red Lock",Data!$A$2848:$AT$2848,4,FALSE)= "On", "X", "-")</f>
        <v>-</v>
      </c>
      <c r="R6" s="803" t="str">
        <f>IF(VLOOKUP("Yellow Lock",Data!$A$2851:$AT$2851,4,FALSE)= "On", "X", "-")</f>
        <v>-</v>
      </c>
      <c r="S6" s="803" t="s">
        <v>34</v>
      </c>
      <c r="T6" s="804" t="s">
        <v>34</v>
      </c>
      <c r="U6" s="293">
        <v>3</v>
      </c>
      <c r="V6" s="812" t="str">
        <f>IF(VLOOKUP("Green Occupancy",Data!$A$2942:$AT$2942,4,FALSE)="On", "X", "-")</f>
        <v>X</v>
      </c>
      <c r="W6" s="803" t="str">
        <f>IF(VLOOKUP("Yellow Occupancy",Data!$A$2945:$AT$2945,4,FALSE)="On", "X", "-")</f>
        <v>X</v>
      </c>
      <c r="X6" s="803" t="str">
        <f>IF(VLOOKUP("Red Occupancy",Data!$A$2943:$AT$2943,4,FALSE)="On", "X", "-")</f>
        <v>-</v>
      </c>
      <c r="Y6" s="803">
        <f>VLOOKUP("Delay Phase 1",Data!$A$2939:$AT$2939,4,FALSE)</f>
        <v>0</v>
      </c>
      <c r="Z6" s="803">
        <f>VLOOKUP("Delay Phase 2",Data!$A$2940:$AT$2940,4,FALSE)</f>
        <v>0</v>
      </c>
      <c r="AA6" s="947" t="str">
        <f>VLOOKUP("External Mode",Data!$A$2937:$AT$2946,4,FALSE)</f>
        <v>STOPB</v>
      </c>
      <c r="AB6" s="804">
        <f>VLOOKUP("Source",Data!$A$2937:$AT$2946,4,FALSE)</f>
        <v>0</v>
      </c>
      <c r="AC6" s="823" t="str">
        <f>VLOOKUP("Direction",Data!$A$208:$AT$211,4,FALSE)</f>
        <v xml:space="preserve"> </v>
      </c>
      <c r="AD6" s="286">
        <v>3</v>
      </c>
      <c r="AE6" s="79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U6" s="82" t="s">
        <v>748</v>
      </c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59" s="82" customFormat="1" ht="12.6" customHeight="1">
      <c r="A7" s="218">
        <v>4</v>
      </c>
      <c r="B7" s="485" t="s">
        <v>776</v>
      </c>
      <c r="C7" s="801">
        <f>VLOOKUP("Call Phase",Data!$A$2837:$AT$2837,5,FALSE)</f>
        <v>2</v>
      </c>
      <c r="D7" s="802">
        <f>VLOOKUP("Switch Phase",Data!$A$2849:$AT$2849,5,FALSE)</f>
        <v>0</v>
      </c>
      <c r="E7" s="803">
        <f>VLOOKUP("Delay Time",Data!$A$2838:$AT$2838,5,FALSE)</f>
        <v>0</v>
      </c>
      <c r="F7" s="803" t="s">
        <v>34</v>
      </c>
      <c r="G7" s="803">
        <f>VLOOKUP("Queue Limit",Data!$A$2847:$AT$2847,5,FALSE)</f>
        <v>0</v>
      </c>
      <c r="H7" s="803">
        <f>VLOOKUP("No Activity",Data!$A$2844:$AT$2844,5,FALSE)</f>
        <v>0</v>
      </c>
      <c r="I7" s="803">
        <f>VLOOKUP("Max Presence",Data!$A$2843:$AT$2843,5,FALSE)</f>
        <v>0</v>
      </c>
      <c r="J7" s="803">
        <f>VLOOKUP("Erratic Counts",Data!$A$2839:$AT$2839,5,FALSE)</f>
        <v>0</v>
      </c>
      <c r="K7" s="804">
        <f>VLOOKUP("Fail Time",Data!$A$2842:$AT$2842,5,FALSE)</f>
        <v>255</v>
      </c>
      <c r="L7" s="293">
        <v>4</v>
      </c>
      <c r="M7" s="812" t="s">
        <v>34</v>
      </c>
      <c r="N7" s="803" t="s">
        <v>34</v>
      </c>
      <c r="O7" s="803" t="str">
        <f>IF(VLOOKUP("Queue",Data!$A$2846:$AT$2846,5,FALSE)= "On", "X", "-")</f>
        <v>-</v>
      </c>
      <c r="P7" s="803" t="str">
        <f>IF(VLOOKUP("Added Initial",Data!$A$2835:$AT$2835,5,FALSE)= "On", "X", "-")</f>
        <v>-</v>
      </c>
      <c r="Q7" s="803" t="str">
        <f>IF(VLOOKUP("Red Lock",Data!$A$2848:$AT$2848,5,FALSE)= "On", "X", "-")</f>
        <v>-</v>
      </c>
      <c r="R7" s="803" t="str">
        <f>IF(VLOOKUP("Yellow Lock",Data!$A$2851:$AT$2851,5,FALSE)= "On", "X", "-")</f>
        <v>-</v>
      </c>
      <c r="S7" s="803" t="str">
        <f>IF(VLOOKUP("Occupancy",Data!$A$2845:$AT$2845,5,FALSE)= "On", "X", "-")</f>
        <v>-</v>
      </c>
      <c r="T7" s="804" t="s">
        <v>34</v>
      </c>
      <c r="U7" s="293">
        <v>4</v>
      </c>
      <c r="V7" s="812" t="str">
        <f>IF(VLOOKUP("Green Occupancy",Data!$A$2942:$AT$2942,5,FALSE)="On", "X", "-")</f>
        <v>X</v>
      </c>
      <c r="W7" s="803" t="str">
        <f>IF(VLOOKUP("Yellow Occupancy",Data!$A$2945:$AT$2945,5,FALSE)="On", "X", "-")</f>
        <v>X</v>
      </c>
      <c r="X7" s="803" t="str">
        <f>IF(VLOOKUP("Red Occupancy",Data!$A$2943:$AT$2943,5,FALSE)="On", "X", "-")</f>
        <v>-</v>
      </c>
      <c r="Y7" s="803">
        <f>VLOOKUP("Delay Phase 1",Data!$A$2939:$AT$2939,5,FALSE)</f>
        <v>0</v>
      </c>
      <c r="Z7" s="803">
        <f>VLOOKUP("Delay Phase 2",Data!$A$2940:$AT$2940,5,FALSE)</f>
        <v>0</v>
      </c>
      <c r="AA7" s="947" t="str">
        <f>VLOOKUP("External Mode",Data!$A$2937:$AT$2946,5,FALSE)</f>
        <v>STOPB</v>
      </c>
      <c r="AB7" s="804">
        <f>VLOOKUP("Source",Data!$A$2937:$AT$2946,5,FALSE)</f>
        <v>0</v>
      </c>
      <c r="AC7" s="823" t="s">
        <v>34</v>
      </c>
      <c r="AD7" s="286">
        <v>4</v>
      </c>
      <c r="AE7" s="7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U7" s="82" t="s">
        <v>750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59" s="82" customFormat="1" ht="12.6" customHeight="1">
      <c r="A8" s="218">
        <v>5</v>
      </c>
      <c r="B8" s="485" t="s">
        <v>777</v>
      </c>
      <c r="C8" s="801">
        <f>VLOOKUP("Call Phase",Data!$A$2837:$AT$2837,6,FALSE)</f>
        <v>2</v>
      </c>
      <c r="D8" s="802">
        <f>VLOOKUP("Switch Phase",Data!$A$2849:$AT$2849,6,FALSE)</f>
        <v>0</v>
      </c>
      <c r="E8" s="803" t="s">
        <v>34</v>
      </c>
      <c r="F8" s="803" t="s">
        <v>34</v>
      </c>
      <c r="G8" s="803">
        <f>VLOOKUP("Queue Limit",Data!$A$2847:$AT$2847,6,FALSE)</f>
        <v>0</v>
      </c>
      <c r="H8" s="803">
        <f>VLOOKUP("No Activity",Data!$A$2844:$AT$2844,6,FALSE)</f>
        <v>0</v>
      </c>
      <c r="I8" s="803">
        <f>VLOOKUP("Max Presence",Data!$A$2843:$AT$2843,6,FALSE)</f>
        <v>0</v>
      </c>
      <c r="J8" s="803">
        <f>VLOOKUP("Erratic Counts",Data!$A$2839:$AT$2839,6,FALSE)</f>
        <v>0</v>
      </c>
      <c r="K8" s="804">
        <f>VLOOKUP("Fail Time",Data!$A$2842:$AT$2842,6,FALSE)</f>
        <v>255</v>
      </c>
      <c r="L8" s="293">
        <v>5</v>
      </c>
      <c r="M8" s="812" t="s">
        <v>34</v>
      </c>
      <c r="N8" s="803" t="s">
        <v>34</v>
      </c>
      <c r="O8" s="803" t="str">
        <f>IF(VLOOKUP("Queue",Data!$A$2846:$AT$2846,6,FALSE)= "On", "X", "-")</f>
        <v>-</v>
      </c>
      <c r="P8" s="803" t="str">
        <f>IF(VLOOKUP("Added Initial",Data!$A$2835:$AT$2835,6,FALSE)= "On", "X", "-")</f>
        <v>-</v>
      </c>
      <c r="Q8" s="803" t="str">
        <f>IF(VLOOKUP("Red Lock",Data!$A$2848:$AT$2848,6,FALSE)= "On", "X", "-")</f>
        <v>-</v>
      </c>
      <c r="R8" s="803" t="str">
        <f>IF(VLOOKUP("Yellow Lock",Data!$A$2851:$AT$2851,6,FALSE)= "On", "X", "-")</f>
        <v>-</v>
      </c>
      <c r="S8" s="803" t="s">
        <v>34</v>
      </c>
      <c r="T8" s="804" t="s">
        <v>34</v>
      </c>
      <c r="U8" s="293">
        <v>5</v>
      </c>
      <c r="V8" s="812" t="str">
        <f>IF(VLOOKUP("Green Occupancy",Data!$A$2942:$AT$2942,6,FALSE)="On", "X", "-")</f>
        <v>X</v>
      </c>
      <c r="W8" s="803" t="str">
        <f>IF(VLOOKUP("Yellow Occupancy",Data!$A$2945:$AT$2945,6,FALSE)="On", "X", "-")</f>
        <v>X</v>
      </c>
      <c r="X8" s="803" t="str">
        <f>IF(VLOOKUP("Red Occupancy",Data!$A$2943:$AT$2943,6,FALSE)="On", "X", "-")</f>
        <v>-</v>
      </c>
      <c r="Y8" s="803">
        <f>VLOOKUP("Delay Phase 1",Data!$A$2939:$AT$2939,6,FALSE)</f>
        <v>0</v>
      </c>
      <c r="Z8" s="803">
        <f>VLOOKUP("Delay Phase 2",Data!$A$2940:$AT$2940,6,FALSE)</f>
        <v>0</v>
      </c>
      <c r="AA8" s="947" t="str">
        <f>VLOOKUP("External Mode",Data!$A$2937:$AT$2946,6,FALSE)</f>
        <v>STOPB</v>
      </c>
      <c r="AB8" s="804">
        <f>VLOOKUP("Source",Data!$A$2937:$AT$2946,6,FALSE)</f>
        <v>0</v>
      </c>
      <c r="AC8" s="823" t="s">
        <v>34</v>
      </c>
      <c r="AD8" s="286">
        <v>5</v>
      </c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U8" s="81" t="s">
        <v>745</v>
      </c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</row>
    <row r="9" spans="1:59" s="82" customFormat="1" ht="12.6" customHeight="1">
      <c r="A9" s="218">
        <v>6</v>
      </c>
      <c r="B9" s="485" t="s">
        <v>778</v>
      </c>
      <c r="C9" s="801">
        <f>VLOOKUP("Call Phase",Data!$A$2837:$AT$2837,7,FALSE)</f>
        <v>2</v>
      </c>
      <c r="D9" s="802">
        <f>VLOOKUP("Switch Phase",Data!$A$2849:$AT$2849,7,FALSE)</f>
        <v>0</v>
      </c>
      <c r="E9" s="803">
        <f>VLOOKUP("Delay Time",Data!$A$2838:$AT$2838,7,FALSE)</f>
        <v>0</v>
      </c>
      <c r="F9" s="803" t="s">
        <v>34</v>
      </c>
      <c r="G9" s="803">
        <f>VLOOKUP("Queue Limit",Data!$A$2847:$AT$2847,7,FALSE)</f>
        <v>0</v>
      </c>
      <c r="H9" s="803">
        <f>VLOOKUP("No Activity",Data!$A$2844:$AT$2844,7,FALSE)</f>
        <v>0</v>
      </c>
      <c r="I9" s="803">
        <f>VLOOKUP("Max Presence",Data!$A$2843:$AT$2843,7,FALSE)</f>
        <v>0</v>
      </c>
      <c r="J9" s="803">
        <f>VLOOKUP("Erratic Counts",Data!$A$2839:$AT$2839,7,FALSE)</f>
        <v>0</v>
      </c>
      <c r="K9" s="804">
        <f>VLOOKUP("Fail Time",Data!$A$2842:$AT$2842,7,FALSE)</f>
        <v>255</v>
      </c>
      <c r="L9" s="293">
        <v>6</v>
      </c>
      <c r="M9" s="812" t="s">
        <v>34</v>
      </c>
      <c r="N9" s="803" t="s">
        <v>34</v>
      </c>
      <c r="O9" s="803" t="str">
        <f>IF(VLOOKUP("Queue",Data!$A$2846:$AT$2846,7,FALSE)= "On", "X", "-")</f>
        <v>-</v>
      </c>
      <c r="P9" s="803" t="str">
        <f>IF(VLOOKUP("Added Initial",Data!$A$2835:$AT$2835,7,FALSE)= "On", "X", "-")</f>
        <v>-</v>
      </c>
      <c r="Q9" s="803" t="str">
        <f>IF(VLOOKUP("Red Lock",Data!$A$2848:$AT$2848,7,FALSE)= "On", "X", "-")</f>
        <v>-</v>
      </c>
      <c r="R9" s="803" t="str">
        <f>IF(VLOOKUP("Yellow Lock",Data!$A$2851:$AT$2851,7,FALSE)= "On", "X", "-")</f>
        <v>-</v>
      </c>
      <c r="S9" s="803" t="s">
        <v>34</v>
      </c>
      <c r="T9" s="804" t="s">
        <v>34</v>
      </c>
      <c r="U9" s="293">
        <v>6</v>
      </c>
      <c r="V9" s="812" t="str">
        <f>IF(VLOOKUP("Green Occupancy",Data!$A$2942:$AT$2942,7,FALSE)="On", "X", "-")</f>
        <v>X</v>
      </c>
      <c r="W9" s="803" t="str">
        <f>IF(VLOOKUP("Yellow Occupancy",Data!$A$2945:$AT$2945,7,FALSE)="On", "X", "-")</f>
        <v>X</v>
      </c>
      <c r="X9" s="803" t="str">
        <f>IF(VLOOKUP("Red Occupancy",Data!$A$2943:$AT$2943,7,FALSE)="On", "X", "-")</f>
        <v>-</v>
      </c>
      <c r="Y9" s="803">
        <f>VLOOKUP("Delay Phase 1",Data!$A$2939:$AT$2939,7,FALSE)</f>
        <v>0</v>
      </c>
      <c r="Z9" s="803">
        <f>VLOOKUP("Delay Phase 2",Data!$A$2940:$AT$2940,7,FALSE)</f>
        <v>0</v>
      </c>
      <c r="AA9" s="947" t="str">
        <f>VLOOKUP("External Mode",Data!$A$2937:$AT$2946,7,FALSE)</f>
        <v>STOPB</v>
      </c>
      <c r="AB9" s="804">
        <f>VLOOKUP("Source",Data!$A$2937:$AT$2946,7,FALSE)</f>
        <v>0</v>
      </c>
      <c r="AC9" s="823" t="s">
        <v>34</v>
      </c>
      <c r="AD9" s="286">
        <v>6</v>
      </c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U9" s="81" t="s">
        <v>746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59" s="82" customFormat="1" ht="12.6" customHeight="1">
      <c r="A10" s="218">
        <v>7</v>
      </c>
      <c r="B10" s="796" t="s">
        <v>779</v>
      </c>
      <c r="C10" s="805">
        <f>VLOOKUP("Call Phase",Data!$A$2837:$AT$2837,8,FALSE)</f>
        <v>3</v>
      </c>
      <c r="D10" s="806">
        <f>VLOOKUP("Switch Phase",Data!$A$2849:$AT$2849,8,FALSE)</f>
        <v>0</v>
      </c>
      <c r="E10" s="827">
        <f>VLOOKUP("Delay Time",Data!$A$2838:$AT$2838,8,FALSE)</f>
        <v>0</v>
      </c>
      <c r="F10" s="827">
        <f>VLOOKUP("Extend Time",Data!$A$2841:$AT$2841,8,FALSE)</f>
        <v>0</v>
      </c>
      <c r="G10" s="827">
        <f>VLOOKUP("Queue Limit",Data!$A$2847:$AT$2847,8,FALSE)</f>
        <v>0</v>
      </c>
      <c r="H10" s="827">
        <f>VLOOKUP("No Activity",Data!$A$2844:$AT$2844,8,FALSE)</f>
        <v>0</v>
      </c>
      <c r="I10" s="827">
        <f>VLOOKUP("Max Presence",Data!$A$2843:$AT$2843,8,FALSE)</f>
        <v>0</v>
      </c>
      <c r="J10" s="827">
        <f>VLOOKUP("Erratic Counts",Data!$A$2839:$AT$2839,8,FALSE)</f>
        <v>0</v>
      </c>
      <c r="K10" s="807">
        <f>VLOOKUP("Fail Time",Data!$A$2842:$AT$2842,8,FALSE)</f>
        <v>255</v>
      </c>
      <c r="L10" s="293">
        <v>7</v>
      </c>
      <c r="M10" s="813" t="s">
        <v>34</v>
      </c>
      <c r="N10" s="827" t="s">
        <v>34</v>
      </c>
      <c r="O10" s="827" t="str">
        <f>IF(VLOOKUP("Queue",Data!$A$2846:$AT$2846,8,FALSE)= "On", "X", "-")</f>
        <v>-</v>
      </c>
      <c r="P10" s="827" t="str">
        <f>IF(VLOOKUP("Added Initial",Data!$A$2835:$AT$2835,8,FALSE)= "On", "X", "-")</f>
        <v>-</v>
      </c>
      <c r="Q10" s="827" t="str">
        <f>IF(VLOOKUP("Red Lock",Data!$A$2848:$AT$2848,8,FALSE)= "On", "X", "-")</f>
        <v>-</v>
      </c>
      <c r="R10" s="827" t="str">
        <f>IF(VLOOKUP("Yellow Lock",Data!$A$2851:$AT$2851,8,FALSE)= "On", "X", "-")</f>
        <v>-</v>
      </c>
      <c r="S10" s="827" t="s">
        <v>34</v>
      </c>
      <c r="T10" s="807" t="s">
        <v>34</v>
      </c>
      <c r="U10" s="293">
        <v>7</v>
      </c>
      <c r="V10" s="813" t="str">
        <f>IF(VLOOKUP("Green Occupancy",Data!$A$2942:$AT$2942,8,FALSE)="On", "X", "-")</f>
        <v>X</v>
      </c>
      <c r="W10" s="827" t="str">
        <f>IF(VLOOKUP("Yellow Occupancy",Data!$A$2945:$AT$2945,8,FALSE)="On", "X", "-")</f>
        <v>X</v>
      </c>
      <c r="X10" s="827" t="str">
        <f>IF(VLOOKUP("Red Occupancy",Data!$A$2943:$AT$2943,8,FALSE)="On", "X", "-")</f>
        <v>-</v>
      </c>
      <c r="Y10" s="827">
        <f>VLOOKUP("Delay Phase 1",Data!$A$2939:$AT$2939,8,FALSE)</f>
        <v>0</v>
      </c>
      <c r="Z10" s="827">
        <f>VLOOKUP("Delay Phase 2",Data!$A$2940:$AT$2940,8,FALSE)</f>
        <v>0</v>
      </c>
      <c r="AA10" s="947" t="str">
        <f>VLOOKUP("External Mode",Data!$A$2937:$AT$2946,8,FALSE)</f>
        <v>NORM</v>
      </c>
      <c r="AB10" s="945">
        <f>VLOOKUP("Source",Data!$A$2937:$AT$2946,8,FALSE)</f>
        <v>0</v>
      </c>
      <c r="AC10" s="822" t="s">
        <v>34</v>
      </c>
      <c r="AD10" s="286">
        <v>7</v>
      </c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U10" s="81" t="s">
        <v>747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</row>
    <row r="11" spans="1:59" s="82" customFormat="1" ht="12.6" customHeight="1">
      <c r="A11" s="218">
        <v>8</v>
      </c>
      <c r="B11" s="487" t="s">
        <v>780</v>
      </c>
      <c r="C11" s="801">
        <f>VLOOKUP("Call Phase",Data!$A$2837:$AT$2837,9,FALSE)</f>
        <v>4</v>
      </c>
      <c r="D11" s="802">
        <f>VLOOKUP("Switch Phase",Data!$A$2849:$AT$2849,9,FALSE)</f>
        <v>0</v>
      </c>
      <c r="E11" s="803">
        <f>VLOOKUP("Delay Time",Data!$A$2838:$AT$2838,9,FALSE)</f>
        <v>0</v>
      </c>
      <c r="F11" s="803">
        <f>VLOOKUP("Extend Time",Data!$A$2841:$AT$2841,9,FALSE)</f>
        <v>0</v>
      </c>
      <c r="G11" s="803">
        <f>VLOOKUP("Queue Limit",Data!$A$2847:$AT$2847,9,FALSE)</f>
        <v>0</v>
      </c>
      <c r="H11" s="803">
        <f>VLOOKUP("No Activity",Data!$A$2844:$AT$2844,9,FALSE)</f>
        <v>0</v>
      </c>
      <c r="I11" s="803">
        <f>VLOOKUP("Max Presence",Data!$A$2843:$AT$2843,9,FALSE)</f>
        <v>0</v>
      </c>
      <c r="J11" s="803">
        <f>VLOOKUP("Erratic Counts",Data!$A$2839:$AT$2839,9,FALSE)</f>
        <v>0</v>
      </c>
      <c r="K11" s="804">
        <f>VLOOKUP("Fail Time",Data!$A$2842:$AT$2842,9,FALSE)</f>
        <v>255</v>
      </c>
      <c r="L11" s="293">
        <v>8</v>
      </c>
      <c r="M11" s="812" t="s">
        <v>34</v>
      </c>
      <c r="N11" s="803" t="s">
        <v>34</v>
      </c>
      <c r="O11" s="803" t="str">
        <f>IF(VLOOKUP("Queue",Data!$A$2846:$AT$2846,9,FALSE)= "On", "X", "-")</f>
        <v>-</v>
      </c>
      <c r="P11" s="803" t="str">
        <f>IF(VLOOKUP("Added Initial",Data!$A$2835:$AT$2835,9,FALSE)= "On", "X", "-")</f>
        <v>-</v>
      </c>
      <c r="Q11" s="803" t="str">
        <f>IF(VLOOKUP("Red Lock",Data!$A$2848:$AT$2848,9,FALSE)= "On", "X", "-")</f>
        <v>-</v>
      </c>
      <c r="R11" s="803" t="str">
        <f>IF(VLOOKUP("Yellow Lock",Data!$A$2851:$AT$2851,9,FALSE)= "On", "X", "-")</f>
        <v>-</v>
      </c>
      <c r="S11" s="803" t="s">
        <v>34</v>
      </c>
      <c r="T11" s="804" t="s">
        <v>34</v>
      </c>
      <c r="U11" s="293">
        <v>8</v>
      </c>
      <c r="V11" s="812" t="str">
        <f>IF(VLOOKUP("Green Occupancy",Data!$A$2942:$AT$2942,9,FALSE)="On", "X", "-")</f>
        <v>X</v>
      </c>
      <c r="W11" s="803" t="str">
        <f>IF(VLOOKUP("Yellow Occupancy",Data!$A$2945:$AT$2945,9,FALSE)="On", "X", "-")</f>
        <v>X</v>
      </c>
      <c r="X11" s="803" t="str">
        <f>IF(VLOOKUP("Red Occupancy",Data!$A$2943:$AT$2943,9,FALSE)="On", "X", "-")</f>
        <v>-</v>
      </c>
      <c r="Y11" s="803">
        <f>VLOOKUP("Delay Phase 1",Data!$A$2939:$AT$2939,9,FALSE)</f>
        <v>0</v>
      </c>
      <c r="Z11" s="803">
        <f>VLOOKUP("Delay Phase 2",Data!$A$2940:$AT$2940,9,FALSE)</f>
        <v>0</v>
      </c>
      <c r="AA11" s="947" t="str">
        <f>VLOOKUP("External Mode",Data!$A$2937:$AT$2946,9,FALSE)</f>
        <v>NORM</v>
      </c>
      <c r="AB11" s="804">
        <f>VLOOKUP("Source",Data!$A$2937:$AT$2946,9,FALSE)</f>
        <v>0</v>
      </c>
      <c r="AC11" s="823" t="str">
        <f>VLOOKUP("Direction",Data!$A$208:$AT$211,9,FALSE)</f>
        <v xml:space="preserve"> </v>
      </c>
      <c r="AD11" s="286">
        <v>8</v>
      </c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</row>
    <row r="12" spans="1:59" s="82" customFormat="1" ht="12.6" customHeight="1">
      <c r="A12" s="218">
        <v>9</v>
      </c>
      <c r="B12" s="487" t="s">
        <v>781</v>
      </c>
      <c r="C12" s="801">
        <f>VLOOKUP("Call Phase",Data!$A$2837:$AT$2837,10,FALSE)</f>
        <v>4</v>
      </c>
      <c r="D12" s="802">
        <f>VLOOKUP("Switch Phase",Data!$A$2849:$AT$2849,10,FALSE)</f>
        <v>0</v>
      </c>
      <c r="E12" s="803">
        <f>VLOOKUP("Delay Time",Data!$A$2838:$AT$2838,10,FALSE)</f>
        <v>0</v>
      </c>
      <c r="F12" s="803" t="s">
        <v>34</v>
      </c>
      <c r="G12" s="803">
        <f>VLOOKUP("Queue Limit",Data!$A$2847:$AT$2847,10,FALSE)</f>
        <v>0</v>
      </c>
      <c r="H12" s="803">
        <f>VLOOKUP("No Activity",Data!$A$2844:$AT$2844,10,FALSE)</f>
        <v>0</v>
      </c>
      <c r="I12" s="803">
        <f>VLOOKUP("Max Presence",Data!$A$2843:$AT$2843,10,FALSE)</f>
        <v>0</v>
      </c>
      <c r="J12" s="803">
        <f>VLOOKUP("Erratic Counts",Data!$A$2839:$AT$2839,10,FALSE)</f>
        <v>0</v>
      </c>
      <c r="K12" s="804">
        <f>VLOOKUP("Fail Time",Data!$A$2842:$AT$2842,10,FALSE)</f>
        <v>255</v>
      </c>
      <c r="L12" s="293">
        <v>9</v>
      </c>
      <c r="M12" s="812" t="s">
        <v>34</v>
      </c>
      <c r="N12" s="803" t="s">
        <v>34</v>
      </c>
      <c r="O12" s="803" t="str">
        <f>IF(VLOOKUP("Queue",Data!$A$2846:$AT$2846,10,FALSE)= "On", "X", "-")</f>
        <v>-</v>
      </c>
      <c r="P12" s="803" t="str">
        <f>IF(VLOOKUP("Added Initial",Data!$A$2835:$AT$2835,10,FALSE)= "On", "X", "-")</f>
        <v>-</v>
      </c>
      <c r="Q12" s="803" t="str">
        <f>IF(VLOOKUP("Red Lock",Data!$A$2848:$AT$2848,10,FALSE)= "On", "X", "-")</f>
        <v>-</v>
      </c>
      <c r="R12" s="803" t="str">
        <f>IF(VLOOKUP("Yellow Lock",Data!$A$2851:$AT$2851,10,FALSE)= "On", "X", "-")</f>
        <v>-</v>
      </c>
      <c r="S12" s="803" t="s">
        <v>34</v>
      </c>
      <c r="T12" s="804" t="s">
        <v>34</v>
      </c>
      <c r="U12" s="293">
        <v>9</v>
      </c>
      <c r="V12" s="812" t="str">
        <f>IF(VLOOKUP("Green Occupancy",Data!$A$2942:$AT$2942,10,FALSE)="On", "X", "-")</f>
        <v>X</v>
      </c>
      <c r="W12" s="803" t="str">
        <f>IF(VLOOKUP("Yellow Occupancy",Data!$A$2945:$AT$2945,10,FALSE)="On", "X", "-")</f>
        <v>X</v>
      </c>
      <c r="X12" s="803" t="str">
        <f>IF(VLOOKUP("Red Occupancy",Data!$A$2943:$AT$2943,10,FALSE)="On", "X", "-")</f>
        <v>-</v>
      </c>
      <c r="Y12" s="803">
        <f>VLOOKUP("Delay Phase 1",Data!$A$2939:$AT$2939,10,FALSE)</f>
        <v>0</v>
      </c>
      <c r="Z12" s="803">
        <f>VLOOKUP("Delay Phase 2",Data!$A$2940:$AT$2940,10,FALSE)</f>
        <v>0</v>
      </c>
      <c r="AA12" s="947" t="str">
        <f>VLOOKUP("External Mode",Data!$A$2937:$AT$2946,10,FALSE)</f>
        <v>STOPB</v>
      </c>
      <c r="AB12" s="804">
        <f>VLOOKUP("Source",Data!$A$2937:$AT$2946,10,FALSE)</f>
        <v>0</v>
      </c>
      <c r="AC12" s="823" t="str">
        <f>VLOOKUP("Direction",Data!$A$208:$AT$211,10,FALSE)</f>
        <v xml:space="preserve"> </v>
      </c>
      <c r="AD12" s="286">
        <v>9</v>
      </c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</row>
    <row r="13" spans="1:59" s="82" customFormat="1" ht="12.6" customHeight="1">
      <c r="A13" s="218">
        <v>10</v>
      </c>
      <c r="B13" s="487" t="s">
        <v>782</v>
      </c>
      <c r="C13" s="801">
        <f>VLOOKUP("Call Phase",Data!$A$2837:$AT$2837,11,FALSE)</f>
        <v>4</v>
      </c>
      <c r="D13" s="802">
        <f>VLOOKUP("Switch Phase",Data!$A$2849:$AT$2849,11,FALSE)</f>
        <v>0</v>
      </c>
      <c r="E13" s="803">
        <f>VLOOKUP("Delay Time",Data!$A$2838:$AT$2838,11,FALSE)</f>
        <v>0</v>
      </c>
      <c r="F13" s="803" t="s">
        <v>34</v>
      </c>
      <c r="G13" s="803">
        <f>VLOOKUP("Queue Limit",Data!$A$2847:$AT$2847,11,FALSE)</f>
        <v>0</v>
      </c>
      <c r="H13" s="803">
        <f>VLOOKUP("No Activity",Data!$A$2844:$AT$2844,11,FALSE)</f>
        <v>0</v>
      </c>
      <c r="I13" s="803">
        <f>VLOOKUP("Max Presence",Data!$A$2843:$AT$2843,11,FALSE)</f>
        <v>0</v>
      </c>
      <c r="J13" s="803">
        <f>VLOOKUP("Erratic Counts",Data!$A$2839:$AT$2839,11,FALSE)</f>
        <v>0</v>
      </c>
      <c r="K13" s="804">
        <f>VLOOKUP("Fail Time",Data!$A$2842:$AT$2842,11,FALSE)</f>
        <v>255</v>
      </c>
      <c r="L13" s="293">
        <v>10</v>
      </c>
      <c r="M13" s="812" t="s">
        <v>34</v>
      </c>
      <c r="N13" s="803" t="s">
        <v>34</v>
      </c>
      <c r="O13" s="803" t="str">
        <f>IF(VLOOKUP("Queue",Data!$A$2846:$AT$2846,11,FALSE)= "On", "X", "-")</f>
        <v>-</v>
      </c>
      <c r="P13" s="803" t="str">
        <f>IF(VLOOKUP("Added Initial",Data!$A$2835:$AT$2835,11,FALSE)= "On", "X", "-")</f>
        <v>-</v>
      </c>
      <c r="Q13" s="803" t="str">
        <f>IF(VLOOKUP("Red Lock",Data!$A$2848:$AT$2848,11,FALSE)= "On", "X", "-")</f>
        <v>-</v>
      </c>
      <c r="R13" s="803" t="str">
        <f>IF(VLOOKUP("Yellow Lock",Data!$A$2851:$AT$2851,11,FALSE)= "On", "X", "-")</f>
        <v>-</v>
      </c>
      <c r="S13" s="803" t="s">
        <v>34</v>
      </c>
      <c r="T13" s="804" t="s">
        <v>34</v>
      </c>
      <c r="U13" s="293">
        <v>10</v>
      </c>
      <c r="V13" s="812" t="str">
        <f>IF(VLOOKUP("Green Occupancy",Data!$A$2942:$AT$2942,11,FALSE)="On", "X", "-")</f>
        <v>X</v>
      </c>
      <c r="W13" s="803" t="str">
        <f>IF(VLOOKUP("Yellow Occupancy",Data!$A$2945:$AT$2945,11,FALSE)="On", "X", "-")</f>
        <v>X</v>
      </c>
      <c r="X13" s="803" t="str">
        <f>IF(VLOOKUP("Red Occupancy",Data!$A$2943:$AT$2943,11,FALSE)="On", "X", "-")</f>
        <v>-</v>
      </c>
      <c r="Y13" s="803">
        <f>VLOOKUP("Delay Phase 1",Data!$A$2939:$AT$2939,11,FALSE)</f>
        <v>0</v>
      </c>
      <c r="Z13" s="803">
        <f>VLOOKUP("Delay Phase 2",Data!$A$2940:$AT$2940,11,FALSE)</f>
        <v>0</v>
      </c>
      <c r="AA13" s="947" t="str">
        <f>VLOOKUP("External Mode",Data!$A$2937:$AT$2946,11,FALSE)</f>
        <v>STOPB</v>
      </c>
      <c r="AB13" s="804">
        <f>VLOOKUP("Source",Data!$A$2937:$AT$2946,11,FALSE)</f>
        <v>0</v>
      </c>
      <c r="AC13" s="823" t="s">
        <v>34</v>
      </c>
      <c r="AD13" s="286">
        <v>10</v>
      </c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</row>
    <row r="14" spans="1:59" s="82" customFormat="1" ht="12.6" customHeight="1">
      <c r="A14" s="218">
        <v>11</v>
      </c>
      <c r="B14" s="487" t="s">
        <v>783</v>
      </c>
      <c r="C14" s="801">
        <f>VLOOKUP("Call Phase",Data!$A$2837:$AT$2837,12,FALSE)</f>
        <v>4</v>
      </c>
      <c r="D14" s="802">
        <f>VLOOKUP("Switch Phase",Data!$A$2849:$AT$2849,12,FALSE)</f>
        <v>0</v>
      </c>
      <c r="E14" s="803">
        <f>VLOOKUP("Delay Time",Data!$A$2838:$AT$2838,12,FALSE)</f>
        <v>0</v>
      </c>
      <c r="F14" s="803" t="s">
        <v>34</v>
      </c>
      <c r="G14" s="803">
        <f>VLOOKUP("Queue Limit",Data!$A$2847:$AT$2847,12,FALSE)</f>
        <v>0</v>
      </c>
      <c r="H14" s="803">
        <f>VLOOKUP("No Activity",Data!$A$2844:$AT$2844,12,FALSE)</f>
        <v>0</v>
      </c>
      <c r="I14" s="803">
        <f>VLOOKUP("Max Presence",Data!$A$2843:$AT$2843,12,FALSE)</f>
        <v>0</v>
      </c>
      <c r="J14" s="803">
        <f>VLOOKUP("Erratic Counts",Data!$A$2839:$AT$2839,12,FALSE)</f>
        <v>0</v>
      </c>
      <c r="K14" s="804">
        <f>VLOOKUP("Fail Time",Data!$A$2842:$AT$2842,12,FALSE)</f>
        <v>255</v>
      </c>
      <c r="L14" s="293">
        <v>11</v>
      </c>
      <c r="M14" s="812" t="s">
        <v>34</v>
      </c>
      <c r="N14" s="803" t="s">
        <v>34</v>
      </c>
      <c r="O14" s="803" t="str">
        <f>IF(VLOOKUP("Queue",Data!$A$2846:$AT$2846,12,FALSE)= "On", "X", "-")</f>
        <v>-</v>
      </c>
      <c r="P14" s="803" t="str">
        <f>IF(VLOOKUP("Added Initial",Data!$A$2835:$AT$2835,12,FALSE)= "On", "X", "-")</f>
        <v>-</v>
      </c>
      <c r="Q14" s="803" t="str">
        <f>IF(VLOOKUP("Red Lock",Data!$A$2848:$AT$2848,12,FALSE)= "On", "X", "-")</f>
        <v>-</v>
      </c>
      <c r="R14" s="803" t="str">
        <f>IF(VLOOKUP("Yellow Lock",Data!$A$2851:$AT$2851,12,FALSE)= "On", "X", "-")</f>
        <v>-</v>
      </c>
      <c r="S14" s="803" t="s">
        <v>34</v>
      </c>
      <c r="T14" s="804" t="s">
        <v>34</v>
      </c>
      <c r="U14" s="293">
        <v>11</v>
      </c>
      <c r="V14" s="812" t="str">
        <f>IF(VLOOKUP("Green Occupancy",Data!$A$2942:$AT$2942,12,FALSE)="On", "X", "-")</f>
        <v>X</v>
      </c>
      <c r="W14" s="803" t="str">
        <f>IF(VLOOKUP("Yellow Occupancy",Data!$A$2945:$AT$2945,12,FALSE)="On", "X", "-")</f>
        <v>X</v>
      </c>
      <c r="X14" s="803" t="str">
        <f>IF(VLOOKUP("Red Occupancy",Data!$A$2943:$AT$2943,12,FALSE)="On", "X", "-")</f>
        <v>-</v>
      </c>
      <c r="Y14" s="803">
        <f>VLOOKUP("Delay Phase 1",Data!$A$2939:$AT$2939,12,FALSE)</f>
        <v>0</v>
      </c>
      <c r="Z14" s="803">
        <f>VLOOKUP("Delay Phase 2",Data!$A$2940:$AT$2940,12,FALSE)</f>
        <v>0</v>
      </c>
      <c r="AA14" s="947" t="str">
        <f>VLOOKUP("External Mode",Data!$A$2937:$AT$2946,12,FALSE)</f>
        <v>STOPB</v>
      </c>
      <c r="AB14" s="804">
        <f>VLOOKUP("Source",Data!$A$2937:$AT$2946,12,FALSE)</f>
        <v>0</v>
      </c>
      <c r="AC14" s="823" t="s">
        <v>34</v>
      </c>
      <c r="AD14" s="286">
        <v>11</v>
      </c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</row>
    <row r="15" spans="1:59" s="82" customFormat="1" ht="12.6" customHeight="1">
      <c r="A15" s="218">
        <v>12</v>
      </c>
      <c r="B15" s="487" t="s">
        <v>784</v>
      </c>
      <c r="C15" s="801">
        <f>VLOOKUP("Call Phase",Data!$A$2837:$AT$2837,13,FALSE)</f>
        <v>4</v>
      </c>
      <c r="D15" s="802">
        <f>VLOOKUP("Switch Phase",Data!$A$2849:$AT$2849,13,FALSE)</f>
        <v>0</v>
      </c>
      <c r="E15" s="803">
        <f>VLOOKUP("Delay Time",Data!$A$2838:$AT$2838,13,FALSE)</f>
        <v>0</v>
      </c>
      <c r="F15" s="803" t="s">
        <v>34</v>
      </c>
      <c r="G15" s="803">
        <f>VLOOKUP("Queue Limit",Data!$A$2847:$AT$2847,13,FALSE)</f>
        <v>0</v>
      </c>
      <c r="H15" s="803">
        <f>VLOOKUP("No Activity",Data!$A$2844:$AT$2844,13,FALSE)</f>
        <v>0</v>
      </c>
      <c r="I15" s="803">
        <f>VLOOKUP("Max Presence",Data!$A$2843:$AT$2843,13,FALSE)</f>
        <v>0</v>
      </c>
      <c r="J15" s="803">
        <f>VLOOKUP("Erratic Counts",Data!$A$2839:$AT$2839,13,FALSE)</f>
        <v>0</v>
      </c>
      <c r="K15" s="804">
        <f>VLOOKUP("Fail Time",Data!$A$2842:$AT$2842,13,FALSE)</f>
        <v>255</v>
      </c>
      <c r="L15" s="293">
        <v>12</v>
      </c>
      <c r="M15" s="812" t="s">
        <v>34</v>
      </c>
      <c r="N15" s="803" t="s">
        <v>34</v>
      </c>
      <c r="O15" s="803" t="str">
        <f>IF(VLOOKUP("Queue",Data!$A$2846:$AT$2846,13,FALSE)= "On", "X", "-")</f>
        <v>-</v>
      </c>
      <c r="P15" s="803" t="str">
        <f>IF(VLOOKUP("Added Initial",Data!$A$2835:$AT$2835,13,FALSE)= "On", "X", "-")</f>
        <v>-</v>
      </c>
      <c r="Q15" s="803" t="str">
        <f>IF(VLOOKUP("Red Lock",Data!$A$2848:$AT$2848,13,FALSE)= "On", "X", "-")</f>
        <v>-</v>
      </c>
      <c r="R15" s="803" t="str">
        <f>IF(VLOOKUP("Yellow Lock",Data!$A$2851:$AT$2851,13,FALSE)= "On", "X", "-")</f>
        <v>-</v>
      </c>
      <c r="S15" s="803" t="s">
        <v>34</v>
      </c>
      <c r="T15" s="804" t="s">
        <v>34</v>
      </c>
      <c r="U15" s="293">
        <v>12</v>
      </c>
      <c r="V15" s="812" t="str">
        <f>IF(VLOOKUP("Green Occupancy",Data!$A$2942:$AT$2942,13,FALSE)="On", "X", "-")</f>
        <v>X</v>
      </c>
      <c r="W15" s="803" t="str">
        <f>IF(VLOOKUP("Yellow Occupancy",Data!$A$2945:$AT$2945,13,FALSE)="On", "X", "-")</f>
        <v>X</v>
      </c>
      <c r="X15" s="803" t="str">
        <f>IF(VLOOKUP("Red Occupancy",Data!$A$2943:$AT$2943,13,FALSE)="On", "X", "-")</f>
        <v>-</v>
      </c>
      <c r="Y15" s="803">
        <f>VLOOKUP("Delay Phase 1",Data!$A$2939:$AT$2939,13,FALSE)</f>
        <v>0</v>
      </c>
      <c r="Z15" s="803">
        <f>VLOOKUP("Delay Phase 2",Data!$A$2940:$AT$2940,13,FALSE)</f>
        <v>0</v>
      </c>
      <c r="AA15" s="947" t="str">
        <f>VLOOKUP("External Mode",Data!$A$2937:$AT$2946,13,FALSE)</f>
        <v>STOPB</v>
      </c>
      <c r="AB15" s="804">
        <f>VLOOKUP("Source",Data!$A$2937:$AT$2946,13,FALSE)</f>
        <v>0</v>
      </c>
      <c r="AC15" s="823" t="s">
        <v>34</v>
      </c>
      <c r="AD15" s="286">
        <v>12</v>
      </c>
      <c r="AE15" s="79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</row>
    <row r="16" spans="1:59" s="82" customFormat="1" ht="12.6" customHeight="1">
      <c r="A16" s="218">
        <v>13</v>
      </c>
      <c r="B16" s="796" t="s">
        <v>785</v>
      </c>
      <c r="C16" s="805">
        <f>VLOOKUP("Call Phase",Data!$A$2837:$AT$2837,14,FALSE)</f>
        <v>1</v>
      </c>
      <c r="D16" s="806">
        <f>VLOOKUP("Switch Phase",Data!$A$2849:$AT$2849,14,FALSE)</f>
        <v>0</v>
      </c>
      <c r="E16" s="827">
        <f>VLOOKUP("Delay Time",Data!$A$2838:$AT$2838,14,FALSE)</f>
        <v>0</v>
      </c>
      <c r="F16" s="827">
        <f>VLOOKUP("Extend Time",Data!$A$2841:$AT$2841,14,FALSE)</f>
        <v>0</v>
      </c>
      <c r="G16" s="827">
        <f>VLOOKUP("Queue Limit",Data!$A$2847:$AT$2847,14,FALSE)</f>
        <v>0</v>
      </c>
      <c r="H16" s="827">
        <f>VLOOKUP("No Activity",Data!$A$2844:$AT$2844,14,FALSE)</f>
        <v>0</v>
      </c>
      <c r="I16" s="827">
        <f>VLOOKUP("Max Presence",Data!$A$2843:$AT$2843,14,FALSE)</f>
        <v>0</v>
      </c>
      <c r="J16" s="827">
        <f>VLOOKUP("Erratic Counts",Data!$A$2839:$AT$2839,14,FALSE)</f>
        <v>0</v>
      </c>
      <c r="K16" s="807">
        <f>VLOOKUP("Fail Time",Data!$A$2842:$AT$2842,14,FALSE)</f>
        <v>255</v>
      </c>
      <c r="L16" s="293">
        <v>13</v>
      </c>
      <c r="M16" s="813" t="s">
        <v>34</v>
      </c>
      <c r="N16" s="827" t="s">
        <v>34</v>
      </c>
      <c r="O16" s="827" t="str">
        <f>IF(VLOOKUP("Queue",Data!$A$2846:$AT$2846,14,FALSE)= "On", "X", "-")</f>
        <v>-</v>
      </c>
      <c r="P16" s="827" t="str">
        <f>IF(VLOOKUP("Added Initial",Data!$A$2835:$AT$2835,14,FALSE)= "On", "X", "-")</f>
        <v>-</v>
      </c>
      <c r="Q16" s="827" t="str">
        <f>IF(VLOOKUP("Red Lock",Data!$A$2848:$AT$2848,14,FALSE)= "On", "X", "-")</f>
        <v>-</v>
      </c>
      <c r="R16" s="827" t="str">
        <f>IF(VLOOKUP("Yellow Lock",Data!$A$2851:$AT$2851,14,FALSE)= "On", "X", "-")</f>
        <v>-</v>
      </c>
      <c r="S16" s="827" t="s">
        <v>34</v>
      </c>
      <c r="T16" s="807" t="s">
        <v>34</v>
      </c>
      <c r="U16" s="293">
        <v>13</v>
      </c>
      <c r="V16" s="813" t="str">
        <f>IF(VLOOKUP("Green Occupancy",Data!$A$2942:$AT$2942,14,FALSE)="On", "X", "-")</f>
        <v>X</v>
      </c>
      <c r="W16" s="827" t="str">
        <f>IF(VLOOKUP("Yellow Occupancy",Data!$A$2945:$AT$2945,14,FALSE)="On", "X", "-")</f>
        <v>X</v>
      </c>
      <c r="X16" s="827" t="str">
        <f>IF(VLOOKUP("Red Occupancy",Data!$A$2943:$AT$2943,14,FALSE)="On", "X", "-")</f>
        <v>-</v>
      </c>
      <c r="Y16" s="827">
        <f>VLOOKUP("Delay Phase 1",Data!$A$2939:$AT$2939,14,FALSE)</f>
        <v>0</v>
      </c>
      <c r="Z16" s="827">
        <f>VLOOKUP("Delay Phase 2",Data!$A$2940:$AT$2940,14,FALSE)</f>
        <v>0</v>
      </c>
      <c r="AA16" s="947" t="str">
        <f>VLOOKUP("External Mode",Data!$A$2937:$AT$2946,14,FALSE)</f>
        <v>NORM</v>
      </c>
      <c r="AB16" s="945">
        <f>VLOOKUP("Source",Data!$A$2937:$AT$2946,14,FALSE)</f>
        <v>0</v>
      </c>
      <c r="AC16" s="822" t="str">
        <f>VLOOKUP("Direction",Data!$A$208:$AT$211,14,FALSE)</f>
        <v xml:space="preserve"> </v>
      </c>
      <c r="AD16" s="286">
        <v>13</v>
      </c>
      <c r="AE16" s="79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</row>
    <row r="17" spans="1:59" s="82" customFormat="1" ht="12.6" customHeight="1">
      <c r="A17" s="218">
        <v>14</v>
      </c>
      <c r="B17" s="796" t="s">
        <v>786</v>
      </c>
      <c r="C17" s="805">
        <f>VLOOKUP("Call Phase",Data!$A$2837:$AT$2837,15,FALSE)</f>
        <v>3</v>
      </c>
      <c r="D17" s="806">
        <f>VLOOKUP("Switch Phase",Data!$A$2849:$AT$2849,15,FALSE)</f>
        <v>0</v>
      </c>
      <c r="E17" s="827">
        <f>VLOOKUP("Delay Time",Data!$A$2838:$AT$2838,15,FALSE)</f>
        <v>0</v>
      </c>
      <c r="F17" s="827">
        <f>VLOOKUP("Extend Time",Data!$A$2841:$AT$2841,15,FALSE)</f>
        <v>0</v>
      </c>
      <c r="G17" s="827">
        <f>VLOOKUP("Queue Limit",Data!$A$2847:$AT$2847,15,FALSE)</f>
        <v>0</v>
      </c>
      <c r="H17" s="827">
        <f>VLOOKUP("No Activity",Data!$A$2844:$AT$2844,15,FALSE)</f>
        <v>0</v>
      </c>
      <c r="I17" s="827">
        <f>VLOOKUP("Max Presence",Data!$A$2843:$AT$2843,15,FALSE)</f>
        <v>0</v>
      </c>
      <c r="J17" s="827">
        <f>VLOOKUP("Erratic Counts",Data!$A$2839:$AT$2839,15,FALSE)</f>
        <v>0</v>
      </c>
      <c r="K17" s="807">
        <f>VLOOKUP("Fail Time",Data!$A$2842:$AT$2842,15,FALSE)</f>
        <v>255</v>
      </c>
      <c r="L17" s="293">
        <v>14</v>
      </c>
      <c r="M17" s="813" t="s">
        <v>34</v>
      </c>
      <c r="N17" s="827" t="s">
        <v>34</v>
      </c>
      <c r="O17" s="827" t="str">
        <f>IF(VLOOKUP("Queue",Data!$A$2846:$AT$2846,15,FALSE)= "On", "X", "-")</f>
        <v>-</v>
      </c>
      <c r="P17" s="827" t="str">
        <f>IF(VLOOKUP("Added Initial",Data!$A$2835:$AT$2835,15,FALSE)= "On", "X", "-")</f>
        <v>-</v>
      </c>
      <c r="Q17" s="827" t="str">
        <f>IF(VLOOKUP("Red Lock",Data!$A$2848:$AT$2848,15,FALSE)= "On", "X", "-")</f>
        <v>-</v>
      </c>
      <c r="R17" s="827" t="str">
        <f>IF(VLOOKUP("Yellow Lock",Data!$A$2851:$AT$2851,15,FALSE)= "On", "X", "-")</f>
        <v>-</v>
      </c>
      <c r="S17" s="827" t="s">
        <v>34</v>
      </c>
      <c r="T17" s="807" t="s">
        <v>34</v>
      </c>
      <c r="U17" s="293">
        <v>14</v>
      </c>
      <c r="V17" s="813" t="str">
        <f>IF(VLOOKUP("Green Occupancy",Data!$A$2942:$AT$2942,15,FALSE)="On", "X", "-")</f>
        <v>X</v>
      </c>
      <c r="W17" s="827" t="str">
        <f>IF(VLOOKUP("Yellow Occupancy",Data!$A$2945:$AT$2945,15,FALSE)="On", "X", "-")</f>
        <v>X</v>
      </c>
      <c r="X17" s="827" t="str">
        <f>IF(VLOOKUP("Red Occupancy",Data!$A$2943:$AT$2943,15,FALSE)="On", "X", "-")</f>
        <v>-</v>
      </c>
      <c r="Y17" s="827">
        <f>VLOOKUP("Delay Phase 1",Data!$A$2939:$AT$2939,15,FALSE)</f>
        <v>0</v>
      </c>
      <c r="Z17" s="827">
        <f>VLOOKUP("Delay Phase 2",Data!$A$2940:$AT$2940,15,FALSE)</f>
        <v>0</v>
      </c>
      <c r="AA17" s="947" t="str">
        <f>VLOOKUP("External Mode",Data!$A$2937:$AT$2946,15,FALSE)</f>
        <v>NORM</v>
      </c>
      <c r="AB17" s="945">
        <f>VLOOKUP("Source",Data!$A$2937:$AT$2946,15,FALSE)</f>
        <v>0</v>
      </c>
      <c r="AC17" s="822" t="str">
        <f>VLOOKUP("Direction",Data!$A$208:$AT$211,15,FALSE)</f>
        <v xml:space="preserve"> </v>
      </c>
      <c r="AD17" s="286">
        <v>14</v>
      </c>
      <c r="AE17" s="79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</row>
    <row r="18" spans="1:59" s="82" customFormat="1" ht="12.6" customHeight="1">
      <c r="A18" s="218">
        <v>15</v>
      </c>
      <c r="B18" s="796" t="s">
        <v>787</v>
      </c>
      <c r="C18" s="805">
        <f>VLOOKUP("Call Phase",Data!$A$2837:$AT$2837,16,FALSE)</f>
        <v>5</v>
      </c>
      <c r="D18" s="806">
        <f>VLOOKUP("Switch Phase",Data!$A$2849:$AT$2849,16,FALSE)</f>
        <v>0</v>
      </c>
      <c r="E18" s="827">
        <f>VLOOKUP("Delay Time",Data!$A$2838:$AT$2838,16,FALSE)</f>
        <v>0</v>
      </c>
      <c r="F18" s="827">
        <f>VLOOKUP("Extend Time",Data!$A$2841:$AT$2841,16,FALSE)</f>
        <v>0</v>
      </c>
      <c r="G18" s="827">
        <f>VLOOKUP("Queue Limit",Data!$A$2847:$AT$2847,16,FALSE)</f>
        <v>0</v>
      </c>
      <c r="H18" s="827">
        <f>VLOOKUP("No Activity",Data!$A$2844:$AT$2844,16,FALSE)</f>
        <v>0</v>
      </c>
      <c r="I18" s="827">
        <f>VLOOKUP("Max Presence",Data!$A$2843:$AT$2843,16,FALSE)</f>
        <v>0</v>
      </c>
      <c r="J18" s="827">
        <f>VLOOKUP("Erratic Counts",Data!$A$2839:$AT$2839,16,FALSE)</f>
        <v>0</v>
      </c>
      <c r="K18" s="807">
        <f>VLOOKUP("Fail Time",Data!$A$2842:$AT$2842,16,FALSE)</f>
        <v>255</v>
      </c>
      <c r="L18" s="293">
        <v>15</v>
      </c>
      <c r="M18" s="813" t="s">
        <v>34</v>
      </c>
      <c r="N18" s="827" t="s">
        <v>34</v>
      </c>
      <c r="O18" s="827" t="str">
        <f>IF(VLOOKUP("Queue",Data!$A$2846:$AT$2846,16,FALSE)= "On", "X", "-")</f>
        <v>-</v>
      </c>
      <c r="P18" s="827" t="str">
        <f>IF(VLOOKUP("Added Initial",Data!$A$2835:$AT$2835,16,FALSE)= "On", "X", "-")</f>
        <v>-</v>
      </c>
      <c r="Q18" s="827" t="str">
        <f>IF(VLOOKUP("Red Lock",Data!$A$2848:$AT$2848,16,FALSE)= "On", "X", "-")</f>
        <v>-</v>
      </c>
      <c r="R18" s="827" t="str">
        <f>IF(VLOOKUP("Yellow Lock",Data!$A$2851:$AT$2851,16,FALSE)= "On", "X", "-")</f>
        <v>-</v>
      </c>
      <c r="S18" s="827" t="s">
        <v>34</v>
      </c>
      <c r="T18" s="807" t="s">
        <v>34</v>
      </c>
      <c r="U18" s="293">
        <v>15</v>
      </c>
      <c r="V18" s="813" t="str">
        <f>IF(VLOOKUP("Green Occupancy",Data!$A$2942:$AT$2942,16,FALSE)="On", "X", "-")</f>
        <v>X</v>
      </c>
      <c r="W18" s="827" t="str">
        <f>IF(VLOOKUP("Yellow Occupancy",Data!$A$2945:$AT$2945,16,FALSE)="On", "X", "-")</f>
        <v>X</v>
      </c>
      <c r="X18" s="827" t="str">
        <f>IF(VLOOKUP("Red Occupancy",Data!$A$2943:$AT$2943,16,FALSE)="On", "X", "-")</f>
        <v>-</v>
      </c>
      <c r="Y18" s="827">
        <f>VLOOKUP("Delay Phase 1",Data!$A$2939:$AT$2939,16,FALSE)</f>
        <v>0</v>
      </c>
      <c r="Z18" s="827">
        <f>VLOOKUP("Delay Phase 2",Data!$A$2940:$AT$2940,16,FALSE)</f>
        <v>0</v>
      </c>
      <c r="AA18" s="947" t="str">
        <f>VLOOKUP("External Mode",Data!$A$2937:$AT$2946,16,FALSE)</f>
        <v>NORM</v>
      </c>
      <c r="AB18" s="945">
        <f>VLOOKUP("Source",Data!$A$2937:$AT$2946,16,FALSE)</f>
        <v>0</v>
      </c>
      <c r="AC18" s="822" t="s">
        <v>34</v>
      </c>
      <c r="AD18" s="285">
        <v>15</v>
      </c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</row>
    <row r="19" spans="1:59" s="82" customFormat="1" ht="12.6" customHeight="1">
      <c r="A19" s="218">
        <v>16</v>
      </c>
      <c r="B19" s="487" t="s">
        <v>788</v>
      </c>
      <c r="C19" s="801">
        <f>VLOOKUP("Call Phase",Data!$A$2837:$AT$2837,17,FALSE)</f>
        <v>6</v>
      </c>
      <c r="D19" s="802">
        <f>VLOOKUP("Switch Phase",Data!$A$2849:$AT$2849,17,FALSE)</f>
        <v>0</v>
      </c>
      <c r="E19" s="803">
        <f>VLOOKUP("Delay Time",Data!$A$2838:$AT$2838,17,FALSE)</f>
        <v>0</v>
      </c>
      <c r="F19" s="803">
        <f>VLOOKUP("Extend Time",Data!$A$2841:$AT$2841,17,FALSE)</f>
        <v>0</v>
      </c>
      <c r="G19" s="803">
        <f>VLOOKUP("Queue Limit",Data!$A$2847:$AT$2847,17,FALSE)</f>
        <v>0</v>
      </c>
      <c r="H19" s="803">
        <f>VLOOKUP("No Activity",Data!$A$2844:$AT$2844,17,FALSE)</f>
        <v>0</v>
      </c>
      <c r="I19" s="803">
        <f>VLOOKUP("Max Presence",Data!$A$2843:$AT$2843,17,FALSE)</f>
        <v>0</v>
      </c>
      <c r="J19" s="803">
        <f>VLOOKUP("Erratic Counts",Data!$A$2839:$AT$2839,17,FALSE)</f>
        <v>0</v>
      </c>
      <c r="K19" s="804">
        <f>VLOOKUP("Fail Time",Data!$A$2842:$AT$2842,17,FALSE)</f>
        <v>255</v>
      </c>
      <c r="L19" s="293">
        <v>16</v>
      </c>
      <c r="M19" s="812" t="s">
        <v>34</v>
      </c>
      <c r="N19" s="803" t="s">
        <v>34</v>
      </c>
      <c r="O19" s="803" t="str">
        <f>IF(VLOOKUP("Queue",Data!$A$2846:$AT$2846,17,FALSE)= "On", "X", "-")</f>
        <v>-</v>
      </c>
      <c r="P19" s="803" t="str">
        <f>IF(VLOOKUP("Added Initial",Data!$A$2835:$AT$2835,17,FALSE)= "On", "X", "-")</f>
        <v>-</v>
      </c>
      <c r="Q19" s="803" t="str">
        <f>IF(VLOOKUP("Red Lock",Data!$A$2848:$AT$2848,17,FALSE)= "On", "X", "-")</f>
        <v>-</v>
      </c>
      <c r="R19" s="803" t="str">
        <f>IF(VLOOKUP("Yellow Lock",Data!$A$2851:$AT$2851,17,FALSE)= "On", "X", "-")</f>
        <v>-</v>
      </c>
      <c r="S19" s="803" t="s">
        <v>34</v>
      </c>
      <c r="T19" s="804" t="s">
        <v>34</v>
      </c>
      <c r="U19" s="293">
        <v>16</v>
      </c>
      <c r="V19" s="812" t="str">
        <f>IF(VLOOKUP("Green Occupancy",Data!$A$2942:$AT$2942,17,FALSE)="On", "X", "-")</f>
        <v>X</v>
      </c>
      <c r="W19" s="803" t="str">
        <f>IF(VLOOKUP("Yellow Occupancy",Data!$A$2945:$AT$2945,17,FALSE)="On", "X", "-")</f>
        <v>X</v>
      </c>
      <c r="X19" s="803" t="str">
        <f>IF(VLOOKUP("Red Occupancy",Data!$A$2943:$AT$2943,17,FALSE)="On", "X", "-")</f>
        <v>-</v>
      </c>
      <c r="Y19" s="803">
        <f>VLOOKUP("Delay Phase 1",Data!$A$2939:$AT$2939,17,FALSE)</f>
        <v>0</v>
      </c>
      <c r="Z19" s="803">
        <f>VLOOKUP("Delay Phase 2",Data!$A$2940:$AT$2940,17,FALSE)</f>
        <v>0</v>
      </c>
      <c r="AA19" s="947" t="str">
        <f>VLOOKUP("External Mode",Data!$A$2937:$AT$2946,17,FALSE)</f>
        <v>NORM</v>
      </c>
      <c r="AB19" s="804">
        <f>VLOOKUP("Source",Data!$A$2937:$AT$2946,17,FALSE)</f>
        <v>0</v>
      </c>
      <c r="AC19" s="823" t="str">
        <f>VLOOKUP("Direction",Data!$A$208:$AT$211,17,FALSE)</f>
        <v xml:space="preserve"> </v>
      </c>
      <c r="AD19" s="286">
        <v>16</v>
      </c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</row>
    <row r="20" spans="1:59" s="82" customFormat="1" ht="12.6" customHeight="1">
      <c r="A20" s="218">
        <v>17</v>
      </c>
      <c r="B20" s="487" t="s">
        <v>789</v>
      </c>
      <c r="C20" s="801">
        <f>VLOOKUP("Call Phase",Data!$A$2837:$AT$2837,18,FALSE)</f>
        <v>6</v>
      </c>
      <c r="D20" s="802">
        <f>VLOOKUP("Switch Phase",Data!$A$2849:$AT$2849,18,FALSE)</f>
        <v>0</v>
      </c>
      <c r="E20" s="803">
        <f>VLOOKUP("Delay Time",Data!$A$2838:$AT$2838,18,FALSE)</f>
        <v>0</v>
      </c>
      <c r="F20" s="803" t="s">
        <v>34</v>
      </c>
      <c r="G20" s="803">
        <f>VLOOKUP("Queue Limit",Data!$A$2847:$AT$2847,18,FALSE)</f>
        <v>0</v>
      </c>
      <c r="H20" s="803">
        <f>VLOOKUP("No Activity",Data!$A$2844:$AT$2844,18,FALSE)</f>
        <v>0</v>
      </c>
      <c r="I20" s="803">
        <f>VLOOKUP("Max Presence",Data!$A$2843:$AT$2843,18,FALSE)</f>
        <v>0</v>
      </c>
      <c r="J20" s="803">
        <f>VLOOKUP("Erratic Counts",Data!$A$2839:$AT$2839,18,FALSE)</f>
        <v>0</v>
      </c>
      <c r="K20" s="804">
        <f>VLOOKUP("Fail Time",Data!$A$2842:$AT$2842,18,FALSE)</f>
        <v>255</v>
      </c>
      <c r="L20" s="293">
        <v>17</v>
      </c>
      <c r="M20" s="812" t="s">
        <v>34</v>
      </c>
      <c r="N20" s="803" t="s">
        <v>34</v>
      </c>
      <c r="O20" s="803" t="str">
        <f>IF(VLOOKUP("Queue",Data!$A$2846:$AT$2846,18,FALSE)= "On", "X", "-")</f>
        <v>-</v>
      </c>
      <c r="P20" s="803" t="str">
        <f>IF(VLOOKUP("Added Initial",Data!$A$2835:$AT$2835,18,FALSE)= "On", "X", "-")</f>
        <v>-</v>
      </c>
      <c r="Q20" s="803" t="str">
        <f>IF(VLOOKUP("Red Lock",Data!$A$2848:$AT$2848,18,FALSE)= "On", "X", "-")</f>
        <v>-</v>
      </c>
      <c r="R20" s="803" t="str">
        <f>IF(VLOOKUP("Yellow Lock",Data!$A$2851:$AT$2851,18,FALSE)= "On", "X", "-")</f>
        <v>-</v>
      </c>
      <c r="S20" s="803" t="str">
        <f>IF(VLOOKUP("Occupancy",Data!$A$2845:$AT$2845,18,FALSE)= "On", "X", "-")</f>
        <v>-</v>
      </c>
      <c r="T20" s="804" t="s">
        <v>34</v>
      </c>
      <c r="U20" s="293">
        <v>17</v>
      </c>
      <c r="V20" s="812" t="str">
        <f>IF(VLOOKUP("Green Occupancy",Data!$A$2942:$AT$2942,18,FALSE)="On", "X", "-")</f>
        <v>X</v>
      </c>
      <c r="W20" s="803" t="str">
        <f>IF(VLOOKUP("Yellow Occupancy",Data!$A$2945:$AT$2945,18,FALSE)="On", "X", "-")</f>
        <v>X</v>
      </c>
      <c r="X20" s="803" t="str">
        <f>IF(VLOOKUP("Red Occupancy",Data!$A$2943:$AT$2943,18,FALSE)="On", "X", "-")</f>
        <v>-</v>
      </c>
      <c r="Y20" s="803">
        <f>VLOOKUP("Delay Phase 1",Data!$A$2939:$AT$2939,18,FALSE)</f>
        <v>0</v>
      </c>
      <c r="Z20" s="803">
        <f>VLOOKUP("Delay Phase 2",Data!$A$2940:$AT$2940,18,FALSE)</f>
        <v>0</v>
      </c>
      <c r="AA20" s="947" t="str">
        <f>VLOOKUP("External Mode",Data!$A$2937:$AT$2946,18,FALSE)</f>
        <v>STOPB</v>
      </c>
      <c r="AB20" s="804">
        <f>VLOOKUP("Source",Data!$A$2937:$AT$2946,18,FALSE)</f>
        <v>0</v>
      </c>
      <c r="AC20" s="823" t="str">
        <f>VLOOKUP("Direction",Data!$A$208:$AT$211,18,FALSE)</f>
        <v xml:space="preserve"> </v>
      </c>
      <c r="AD20" s="286">
        <v>17</v>
      </c>
      <c r="AE20" s="79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</row>
    <row r="21" spans="1:59" s="82" customFormat="1" ht="12.6" customHeight="1">
      <c r="A21" s="218">
        <v>18</v>
      </c>
      <c r="B21" s="487" t="s">
        <v>790</v>
      </c>
      <c r="C21" s="801">
        <f>VLOOKUP("Call Phase",Data!$A$2837:$AT$2837,19,FALSE)</f>
        <v>6</v>
      </c>
      <c r="D21" s="802">
        <f>VLOOKUP("Switch Phase",Data!$A$2849:$AT$2849,19,FALSE)</f>
        <v>0</v>
      </c>
      <c r="E21" s="803">
        <f>VLOOKUP("Delay Time",Data!$A$2838:$AT$2838,19,FALSE)</f>
        <v>0</v>
      </c>
      <c r="F21" s="803" t="s">
        <v>34</v>
      </c>
      <c r="G21" s="803">
        <f>VLOOKUP("Queue Limit",Data!$A$2847:$AT$2847,19,FALSE)</f>
        <v>0</v>
      </c>
      <c r="H21" s="803">
        <f>VLOOKUP("No Activity",Data!$A$2844:$AT$2844,19,FALSE)</f>
        <v>0</v>
      </c>
      <c r="I21" s="803">
        <f>VLOOKUP("Max Presence",Data!$A$2843:$AT$2843,19,FALSE)</f>
        <v>0</v>
      </c>
      <c r="J21" s="803">
        <f>VLOOKUP("Erratic Counts",Data!$A$2839:$AT$2839,19,FALSE)</f>
        <v>0</v>
      </c>
      <c r="K21" s="804">
        <f>VLOOKUP("Fail Time",Data!$A$2842:$AT$2842,19,FALSE)</f>
        <v>255</v>
      </c>
      <c r="L21" s="293">
        <v>18</v>
      </c>
      <c r="M21" s="812" t="s">
        <v>34</v>
      </c>
      <c r="N21" s="803" t="s">
        <v>34</v>
      </c>
      <c r="O21" s="803" t="str">
        <f>IF(VLOOKUP("Queue",Data!$A$2846:$AT$2846,19,FALSE)= "On", "X", "-")</f>
        <v>-</v>
      </c>
      <c r="P21" s="803" t="str">
        <f>IF(VLOOKUP("Added Initial",Data!$A$2835:$AT$2835,19,FALSE)= "On", "X", "-")</f>
        <v>-</v>
      </c>
      <c r="Q21" s="803" t="str">
        <f>IF(VLOOKUP("Red Lock",Data!$A$2848:$AT$2848,19,FALSE)= "On", "X", "-")</f>
        <v>-</v>
      </c>
      <c r="R21" s="803" t="str">
        <f>IF(VLOOKUP("Yellow Lock",Data!$A$2851:$AT$2851,19,FALSE)= "On", "X", "-")</f>
        <v>-</v>
      </c>
      <c r="S21" s="803" t="str">
        <f>IF(VLOOKUP("Occupancy",Data!$A$2845:$AT$2845,19,FALSE)= "On", "X", "-")</f>
        <v>-</v>
      </c>
      <c r="T21" s="804" t="s">
        <v>34</v>
      </c>
      <c r="U21" s="293">
        <v>18</v>
      </c>
      <c r="V21" s="812" t="str">
        <f>IF(VLOOKUP("Green Occupancy",Data!$A$2942:$AT$2942,19,FALSE)="On", "X", "-")</f>
        <v>X</v>
      </c>
      <c r="W21" s="803" t="str">
        <f>IF(VLOOKUP("Yellow Occupancy",Data!$A$2945:$AT$2945,19,FALSE)="On", "X", "-")</f>
        <v>X</v>
      </c>
      <c r="X21" s="803" t="str">
        <f>IF(VLOOKUP("Red Occupancy",Data!$A$2943:$AT$2943,19,FALSE)="On", "X", "-")</f>
        <v>-</v>
      </c>
      <c r="Y21" s="803">
        <f>VLOOKUP("Delay Phase 1",Data!$A$2939:$AT$2939,19,FALSE)</f>
        <v>0</v>
      </c>
      <c r="Z21" s="803">
        <f>VLOOKUP("Delay Phase 2",Data!$A$2940:$AT$2940,19,FALSE)</f>
        <v>0</v>
      </c>
      <c r="AA21" s="947" t="str">
        <f>VLOOKUP("External Mode",Data!$A$2937:$AT$2946,19,FALSE)</f>
        <v>STOPB</v>
      </c>
      <c r="AB21" s="804">
        <f>VLOOKUP("Source",Data!$A$2937:$AT$2946,19,FALSE)</f>
        <v>0</v>
      </c>
      <c r="AC21" s="823" t="s">
        <v>34</v>
      </c>
      <c r="AD21" s="286">
        <v>18</v>
      </c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</row>
    <row r="22" spans="1:59" s="82" customFormat="1" ht="12.6" customHeight="1">
      <c r="A22" s="218">
        <v>19</v>
      </c>
      <c r="B22" s="487" t="s">
        <v>791</v>
      </c>
      <c r="C22" s="801">
        <f>VLOOKUP("Call Phase",Data!$A$2837:$AT$2837,20,FALSE)</f>
        <v>6</v>
      </c>
      <c r="D22" s="802">
        <f>VLOOKUP("Switch Phase",Data!$A$2849:$AT$2849,20,FALSE)</f>
        <v>0</v>
      </c>
      <c r="E22" s="803" t="s">
        <v>34</v>
      </c>
      <c r="F22" s="803" t="s">
        <v>34</v>
      </c>
      <c r="G22" s="803">
        <f>VLOOKUP("Queue Limit",Data!$A$2847:$AT$2847,20,FALSE)</f>
        <v>0</v>
      </c>
      <c r="H22" s="803">
        <f>VLOOKUP("No Activity",Data!$A$2844:$AT$2844,20,FALSE)</f>
        <v>0</v>
      </c>
      <c r="I22" s="803">
        <f>VLOOKUP("Max Presence",Data!$A$2843:$AT$2843,20,FALSE)</f>
        <v>0</v>
      </c>
      <c r="J22" s="803">
        <f>VLOOKUP("Erratic Counts",Data!$A$2839:$AT$2839,20,FALSE)</f>
        <v>0</v>
      </c>
      <c r="K22" s="804">
        <f>VLOOKUP("Fail Time",Data!$A$2842:$AT$2842,20,FALSE)</f>
        <v>255</v>
      </c>
      <c r="L22" s="293">
        <v>19</v>
      </c>
      <c r="M22" s="812" t="s">
        <v>34</v>
      </c>
      <c r="N22" s="803" t="s">
        <v>34</v>
      </c>
      <c r="O22" s="803" t="str">
        <f>IF(VLOOKUP("Queue",Data!$A$2846:$AT$2846,20,FALSE)= "On", "X", "-")</f>
        <v>-</v>
      </c>
      <c r="P22" s="803" t="str">
        <f>IF(VLOOKUP("Added Initial",Data!$A$2835:$AT$2835,20,FALSE)= "On", "X", "-")</f>
        <v>-</v>
      </c>
      <c r="Q22" s="803" t="str">
        <f>IF(VLOOKUP("Red Lock",Data!$A$2848:$AT$2848,20,FALSE)= "On", "X", "-")</f>
        <v>-</v>
      </c>
      <c r="R22" s="803" t="str">
        <f>IF(VLOOKUP("Yellow Lock",Data!$A$2851:$AT$2851,20,FALSE)= "On", "X", "-")</f>
        <v>-</v>
      </c>
      <c r="S22" s="803" t="str">
        <f>IF(VLOOKUP("Occupancy",Data!$A$2845:$AT$2845,20,FALSE)= "On", "X", "-")</f>
        <v>-</v>
      </c>
      <c r="T22" s="804" t="s">
        <v>34</v>
      </c>
      <c r="U22" s="293">
        <v>19</v>
      </c>
      <c r="V22" s="812" t="str">
        <f>IF(VLOOKUP("Green Occupancy",Data!$A$2942:$AT$2942,20,FALSE)="On", "X", "-")</f>
        <v>X</v>
      </c>
      <c r="W22" s="803" t="str">
        <f>IF(VLOOKUP("Yellow Occupancy",Data!$A$2945:$AT$2945,20,FALSE)="On", "X", "-")</f>
        <v>X</v>
      </c>
      <c r="X22" s="803" t="str">
        <f>IF(VLOOKUP("Red Occupancy",Data!$A$2943:$AT$2943,20,FALSE)="On", "X", "-")</f>
        <v>-</v>
      </c>
      <c r="Y22" s="803">
        <f>VLOOKUP("Delay Phase 1",Data!$A$2939:$AT$2939,20,FALSE)</f>
        <v>0</v>
      </c>
      <c r="Z22" s="803">
        <f>VLOOKUP("Delay Phase 2",Data!$A$2940:$AT$2940,20,FALSE)</f>
        <v>0</v>
      </c>
      <c r="AA22" s="947" t="str">
        <f>VLOOKUP("External Mode",Data!$A$2937:$AT$2946,20,FALSE)</f>
        <v>STOPB</v>
      </c>
      <c r="AB22" s="804">
        <f>VLOOKUP("Source",Data!$A$2937:$AT$2946,20,FALSE)</f>
        <v>0</v>
      </c>
      <c r="AC22" s="823" t="s">
        <v>34</v>
      </c>
      <c r="AD22" s="286">
        <v>19</v>
      </c>
      <c r="AE22" s="79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</row>
    <row r="23" spans="1:59" s="82" customFormat="1" ht="12.6" customHeight="1">
      <c r="A23" s="218">
        <v>20</v>
      </c>
      <c r="B23" s="487" t="s">
        <v>1001</v>
      </c>
      <c r="C23" s="801">
        <f>VLOOKUP("Call Phase",Data!$A$2837:$AT$2837,21,FALSE)</f>
        <v>6</v>
      </c>
      <c r="D23" s="802">
        <f>VLOOKUP("Switch Phase",Data!$A$2849:$AT$2849,21,FALSE)</f>
        <v>0</v>
      </c>
      <c r="E23" s="803">
        <f>VLOOKUP("Delay Time",Data!$A$2838:$AT$2838,21,FALSE)</f>
        <v>0</v>
      </c>
      <c r="F23" s="803" t="s">
        <v>34</v>
      </c>
      <c r="G23" s="803">
        <f>VLOOKUP("Queue Limit",Data!$A$2847:$AT$2847,21,FALSE)</f>
        <v>0</v>
      </c>
      <c r="H23" s="803">
        <f>VLOOKUP("No Activity",Data!$A$2844:$AT$2844,21,FALSE)</f>
        <v>0</v>
      </c>
      <c r="I23" s="803">
        <f>VLOOKUP("Max Presence",Data!$A$2843:$AT$2843,21,FALSE)</f>
        <v>0</v>
      </c>
      <c r="J23" s="803">
        <f>VLOOKUP("Erratic Counts",Data!$A$2839:$AT$2839,21,FALSE)</f>
        <v>0</v>
      </c>
      <c r="K23" s="804">
        <f>VLOOKUP("Fail Time",Data!$A$2842:$AT$2842,21,FALSE)</f>
        <v>255</v>
      </c>
      <c r="L23" s="293">
        <v>20</v>
      </c>
      <c r="M23" s="812" t="s">
        <v>34</v>
      </c>
      <c r="N23" s="803" t="s">
        <v>34</v>
      </c>
      <c r="O23" s="803" t="str">
        <f>IF(VLOOKUP("Queue",Data!$A$2846:$AT$2846,21,FALSE)= "On", "X", "-")</f>
        <v>-</v>
      </c>
      <c r="P23" s="803" t="str">
        <f>IF(VLOOKUP("Added Initial",Data!$A$2835:$AT$2835,21,FALSE)= "On", "X", "-")</f>
        <v>-</v>
      </c>
      <c r="Q23" s="803" t="str">
        <f>IF(VLOOKUP("Red Lock",Data!$A$2848:$AT$2848,21,FALSE)= "On", "X", "-")</f>
        <v>-</v>
      </c>
      <c r="R23" s="803" t="str">
        <f>IF(VLOOKUP("Yellow Lock",Data!$A$2851:$AT$2851,21,FALSE)= "On", "X", "-")</f>
        <v>-</v>
      </c>
      <c r="S23" s="803" t="str">
        <f>IF(VLOOKUP("Occupancy",Data!$A$2845:$AT$2845,21,FALSE)= "On", "X", "-")</f>
        <v>-</v>
      </c>
      <c r="T23" s="804" t="s">
        <v>34</v>
      </c>
      <c r="U23" s="293">
        <v>20</v>
      </c>
      <c r="V23" s="812" t="str">
        <f>IF(VLOOKUP("Green Occupancy",Data!$A$2942:$AT$2942,21,FALSE)="On", "X", "-")</f>
        <v>X</v>
      </c>
      <c r="W23" s="803" t="str">
        <f>IF(VLOOKUP("Yellow Occupancy",Data!$A$2945:$AT$2945,21,FALSE)="On", "X", "-")</f>
        <v>X</v>
      </c>
      <c r="X23" s="803" t="str">
        <f>IF(VLOOKUP("Red Occupancy",Data!$A$2943:$AT$2943,21,FALSE)="On", "X", "-")</f>
        <v>-</v>
      </c>
      <c r="Y23" s="803">
        <f>VLOOKUP("Delay Phase 1",Data!$A$2939:$AT$2939,21,FALSE)</f>
        <v>0</v>
      </c>
      <c r="Z23" s="803">
        <f>VLOOKUP("Delay Phase 2",Data!$A$2940:$AT$2940,21,FALSE)</f>
        <v>0</v>
      </c>
      <c r="AA23" s="947" t="str">
        <f>VLOOKUP("External Mode",Data!$A$2937:$AT$2946,21,FALSE)</f>
        <v>STOPB</v>
      </c>
      <c r="AB23" s="804">
        <f>VLOOKUP("Source",Data!$A$2937:$AT$2946,21,FALSE)</f>
        <v>0</v>
      </c>
      <c r="AC23" s="823" t="s">
        <v>34</v>
      </c>
      <c r="AD23" s="286">
        <v>20</v>
      </c>
      <c r="AE23" s="79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</row>
    <row r="24" spans="1:59" s="82" customFormat="1" ht="12.6" customHeight="1">
      <c r="A24" s="218">
        <v>21</v>
      </c>
      <c r="B24" s="796" t="s">
        <v>792</v>
      </c>
      <c r="C24" s="805">
        <f>VLOOKUP("Call Phase",Data!$A$2837:$AT$2837,22,FALSE)</f>
        <v>7</v>
      </c>
      <c r="D24" s="806">
        <f>VLOOKUP("Switch Phase",Data!$A$2849:$AT$2849,22,FALSE)</f>
        <v>0</v>
      </c>
      <c r="E24" s="827">
        <f>VLOOKUP("Delay Time",Data!$A$2838:$AT$2838,22,FALSE)</f>
        <v>0</v>
      </c>
      <c r="F24" s="827">
        <f>VLOOKUP("Extend Time",Data!$A$2841:$AT$2841,22,FALSE)</f>
        <v>0</v>
      </c>
      <c r="G24" s="827">
        <f>VLOOKUP("Queue Limit",Data!$A$2847:$AT$2847,22,FALSE)</f>
        <v>0</v>
      </c>
      <c r="H24" s="827">
        <f>VLOOKUP("No Activity",Data!$A$2844:$AT$2844,22,FALSE)</f>
        <v>0</v>
      </c>
      <c r="I24" s="827">
        <f>VLOOKUP("Max Presence",Data!$A$2843:$AT$2843,22,FALSE)</f>
        <v>0</v>
      </c>
      <c r="J24" s="827">
        <f>VLOOKUP("Erratic Counts",Data!$A$2839:$AT$2839,22,FALSE)</f>
        <v>0</v>
      </c>
      <c r="K24" s="807">
        <f>VLOOKUP("Fail Time",Data!$A$2842:$AT$2842,22,FALSE)</f>
        <v>255</v>
      </c>
      <c r="L24" s="293">
        <v>21</v>
      </c>
      <c r="M24" s="813" t="s">
        <v>34</v>
      </c>
      <c r="N24" s="827" t="s">
        <v>34</v>
      </c>
      <c r="O24" s="827" t="str">
        <f>IF(VLOOKUP("Queue",Data!$A$2846:$AT$2846,22,FALSE)= "On", "X", "-")</f>
        <v>-</v>
      </c>
      <c r="P24" s="827" t="str">
        <f>IF(VLOOKUP("Added Initial",Data!$A$2835:$AT$2835,22,FALSE)= "On", "X", "-")</f>
        <v>-</v>
      </c>
      <c r="Q24" s="827" t="str">
        <f>IF(VLOOKUP("Red Lock",Data!$A$2848:$AT$2848,22,FALSE)= "On", "X", "-")</f>
        <v>-</v>
      </c>
      <c r="R24" s="827" t="str">
        <f>IF(VLOOKUP("Yellow Lock",Data!$A$2851:$AT$2851,22,FALSE)= "On", "X", "-")</f>
        <v>-</v>
      </c>
      <c r="S24" s="827" t="str">
        <f>IF(VLOOKUP("Occupancy",Data!$A$2845:$AT$2845,22,FALSE)= "On", "X", "-")</f>
        <v>-</v>
      </c>
      <c r="T24" s="807" t="s">
        <v>34</v>
      </c>
      <c r="U24" s="293">
        <v>21</v>
      </c>
      <c r="V24" s="813" t="str">
        <f>IF(VLOOKUP("Green Occupancy",Data!$A$2942:$AT$2942,22,FALSE)="On", "X", "-")</f>
        <v>X</v>
      </c>
      <c r="W24" s="827" t="str">
        <f>IF(VLOOKUP("Yellow Occupancy",Data!$A$2945:$AT$2945,22,FALSE)="On", "X", "-")</f>
        <v>X</v>
      </c>
      <c r="X24" s="827" t="str">
        <f>IF(VLOOKUP("Red Occupancy",Data!$A$2943:$AT$2943,22,FALSE)="On", "X", "-")</f>
        <v>-</v>
      </c>
      <c r="Y24" s="827">
        <f>VLOOKUP("Delay Phase 1",Data!$A$2939:$AT$2939,22,FALSE)</f>
        <v>0</v>
      </c>
      <c r="Z24" s="827">
        <f>VLOOKUP("Delay Phase 2",Data!$A$2940:$AT$2940,22,FALSE)</f>
        <v>0</v>
      </c>
      <c r="AA24" s="947" t="str">
        <f>VLOOKUP("External Mode",Data!$A$2937:$AT$2946,22,FALSE)</f>
        <v>NORM</v>
      </c>
      <c r="AB24" s="945">
        <f>VLOOKUP("Source",Data!$A$2937:$AT$2946,22,FALSE)</f>
        <v>0</v>
      </c>
      <c r="AC24" s="822" t="s">
        <v>34</v>
      </c>
      <c r="AD24" s="286">
        <v>21</v>
      </c>
      <c r="AE24" s="79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</row>
    <row r="25" spans="1:59" s="82" customFormat="1" ht="12.6" customHeight="1">
      <c r="A25" s="218">
        <v>22</v>
      </c>
      <c r="B25" s="487" t="s">
        <v>793</v>
      </c>
      <c r="C25" s="801">
        <f>VLOOKUP("Call Phase",Data!$A$2837:$AT$2837,23,FALSE)</f>
        <v>8</v>
      </c>
      <c r="D25" s="802">
        <f>VLOOKUP("Switch Phase",Data!$A$2849:$AT$2849,23,FALSE)</f>
        <v>0</v>
      </c>
      <c r="E25" s="803">
        <f>VLOOKUP("Delay Time",Data!$A$2838:$AT$2838,23,FALSE)</f>
        <v>0</v>
      </c>
      <c r="F25" s="803">
        <f>VLOOKUP("Extend Time",Data!$A$2841:$AT$2841,23,FALSE)</f>
        <v>0</v>
      </c>
      <c r="G25" s="803">
        <f>VLOOKUP("Queue Limit",Data!$A$2847:$AT$2847,23,FALSE)</f>
        <v>0</v>
      </c>
      <c r="H25" s="803">
        <f>VLOOKUP("No Activity",Data!$A$2844:$AT$2844,23,FALSE)</f>
        <v>0</v>
      </c>
      <c r="I25" s="803">
        <f>VLOOKUP("Max Presence",Data!$A$2843:$AT$2843,23,FALSE)</f>
        <v>0</v>
      </c>
      <c r="J25" s="803">
        <f>VLOOKUP("Erratic Counts",Data!$A$2839:$AT$2839,23,FALSE)</f>
        <v>0</v>
      </c>
      <c r="K25" s="804">
        <f>VLOOKUP("Fail Time",Data!$A$2842:$AT$2842,23,FALSE)</f>
        <v>255</v>
      </c>
      <c r="L25" s="293">
        <v>22</v>
      </c>
      <c r="M25" s="812" t="s">
        <v>34</v>
      </c>
      <c r="N25" s="803" t="s">
        <v>34</v>
      </c>
      <c r="O25" s="803" t="str">
        <f>IF(VLOOKUP("Queue",Data!$A$2846:$AT$2846,23,FALSE)= "On", "X", "-")</f>
        <v>-</v>
      </c>
      <c r="P25" s="803" t="str">
        <f>IF(VLOOKUP("Added Initial",Data!$A$2835:$AT$2835,23,FALSE)= "On", "X", "-")</f>
        <v>-</v>
      </c>
      <c r="Q25" s="803" t="str">
        <f>IF(VLOOKUP("Red Lock",Data!$A$2848:$AT$2848,23,FALSE)= "On", "X", "-")</f>
        <v>-</v>
      </c>
      <c r="R25" s="803" t="str">
        <f>IF(VLOOKUP("Yellow Lock",Data!$A$2851:$AT$2851,23,FALSE)= "On", "X", "-")</f>
        <v>-</v>
      </c>
      <c r="S25" s="803" t="s">
        <v>34</v>
      </c>
      <c r="T25" s="804" t="s">
        <v>34</v>
      </c>
      <c r="U25" s="293">
        <v>22</v>
      </c>
      <c r="V25" s="812" t="str">
        <f>IF(VLOOKUP("Green Occupancy",Data!$A$2942:$AT$2942,23,FALSE)="On", "X", "-")</f>
        <v>X</v>
      </c>
      <c r="W25" s="803" t="str">
        <f>IF(VLOOKUP("Yellow Occupancy",Data!$A$2945:$AT$2945,23,FALSE)="On", "X", "-")</f>
        <v>X</v>
      </c>
      <c r="X25" s="803" t="str">
        <f>IF(VLOOKUP("Red Occupancy",Data!$A$2943:$AT$2943,23,FALSE)="On", "X", "-")</f>
        <v>-</v>
      </c>
      <c r="Y25" s="803">
        <f>VLOOKUP("Delay Phase 1",Data!$A$2939:$AT$2939,23,FALSE)</f>
        <v>0</v>
      </c>
      <c r="Z25" s="803">
        <f>VLOOKUP("Delay Phase 2",Data!$A$2940:$AT$2940,23,FALSE)</f>
        <v>0</v>
      </c>
      <c r="AA25" s="947" t="str">
        <f>VLOOKUP("External Mode",Data!$A$2937:$AT$2946,23,FALSE)</f>
        <v>NORM</v>
      </c>
      <c r="AB25" s="804">
        <f>VLOOKUP("Source",Data!$A$2937:$AT$2946,23,FALSE)</f>
        <v>0</v>
      </c>
      <c r="AC25" s="823" t="str">
        <f>VLOOKUP("Direction",Data!$A$208:$AT$211,23,FALSE)</f>
        <v xml:space="preserve"> </v>
      </c>
      <c r="AD25" s="286">
        <v>22</v>
      </c>
      <c r="AE25" s="79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</row>
    <row r="26" spans="1:59" s="82" customFormat="1" ht="12.6" customHeight="1">
      <c r="A26" s="218">
        <v>23</v>
      </c>
      <c r="B26" s="487" t="s">
        <v>794</v>
      </c>
      <c r="C26" s="801">
        <f>VLOOKUP("Call Phase",Data!$A$2837:$AT$2837,24,FALSE)</f>
        <v>8</v>
      </c>
      <c r="D26" s="802">
        <f>VLOOKUP("Switch Phase",Data!$A$2849:$AT$2849,24,FALSE)</f>
        <v>0</v>
      </c>
      <c r="E26" s="803">
        <f>VLOOKUP("Delay Time",Data!$A$2838:$AT$2838,24,FALSE)</f>
        <v>0</v>
      </c>
      <c r="F26" s="803" t="s">
        <v>34</v>
      </c>
      <c r="G26" s="803">
        <f>VLOOKUP("Queue Limit",Data!$A$2847:$AT$2847,24,FALSE)</f>
        <v>0</v>
      </c>
      <c r="H26" s="803">
        <f>VLOOKUP("No Activity",Data!$A$2844:$AT$2844,24,FALSE)</f>
        <v>0</v>
      </c>
      <c r="I26" s="803">
        <f>VLOOKUP("Max Presence",Data!$A$2843:$AT$2843,24,FALSE)</f>
        <v>0</v>
      </c>
      <c r="J26" s="803">
        <f>VLOOKUP("Erratic Counts",Data!$A$2839:$AT$2839,24,FALSE)</f>
        <v>0</v>
      </c>
      <c r="K26" s="804">
        <f>VLOOKUP("Fail Time",Data!$A$2842:$AT$2842,24,FALSE)</f>
        <v>255</v>
      </c>
      <c r="L26" s="293">
        <v>23</v>
      </c>
      <c r="M26" s="812" t="s">
        <v>34</v>
      </c>
      <c r="N26" s="803" t="s">
        <v>34</v>
      </c>
      <c r="O26" s="803" t="str">
        <f>IF(VLOOKUP("Queue",Data!$A$2846:$AT$2846,24,FALSE)= "On", "X", "-")</f>
        <v>-</v>
      </c>
      <c r="P26" s="803" t="str">
        <f>IF(VLOOKUP("Added Initial",Data!$A$2835:$AT$2835,24,FALSE)= "On", "X", "-")</f>
        <v>-</v>
      </c>
      <c r="Q26" s="803" t="str">
        <f>IF(VLOOKUP("Red Lock",Data!$A$2848:$AT$2848,24,FALSE)= "On", "X", "-")</f>
        <v>-</v>
      </c>
      <c r="R26" s="803" t="str">
        <f>IF(VLOOKUP("Yellow Lock",Data!$A$2851:$AT$2851,24,FALSE)= "On", "X", "-")</f>
        <v>-</v>
      </c>
      <c r="S26" s="803" t="str">
        <f>IF(VLOOKUP("Occupancy",Data!$A$2845:$AT$2845,24,FALSE)= "On", "X", "-")</f>
        <v>-</v>
      </c>
      <c r="T26" s="804" t="s">
        <v>34</v>
      </c>
      <c r="U26" s="293">
        <v>23</v>
      </c>
      <c r="V26" s="812" t="str">
        <f>IF(VLOOKUP("Green Occupancy",Data!$A$2942:$AT$2942,24,FALSE)="On", "X", "-")</f>
        <v>X</v>
      </c>
      <c r="W26" s="803" t="str">
        <f>IF(VLOOKUP("Yellow Occupancy",Data!$A$2945:$AT$2945,24,FALSE)="On", "X", "-")</f>
        <v>X</v>
      </c>
      <c r="X26" s="803" t="str">
        <f>IF(VLOOKUP("Red Occupancy",Data!$A$2943:$AT$2943,24,FALSE)="On", "X", "-")</f>
        <v>-</v>
      </c>
      <c r="Y26" s="803">
        <f>VLOOKUP("Delay Phase 1",Data!$A$2939:$AT$2939,24,FALSE)</f>
        <v>0</v>
      </c>
      <c r="Z26" s="803">
        <f>VLOOKUP("Delay Phase 2",Data!$A$2940:$AT$2940,24,FALSE)</f>
        <v>0</v>
      </c>
      <c r="AA26" s="947" t="str">
        <f>VLOOKUP("External Mode",Data!$A$2937:$AT$2946,24,FALSE)</f>
        <v>STOPB</v>
      </c>
      <c r="AB26" s="804">
        <f>VLOOKUP("Source",Data!$A$2937:$AT$2946,24,FALSE)</f>
        <v>0</v>
      </c>
      <c r="AC26" s="823" t="str">
        <f>VLOOKUP("Direction",Data!$A$208:$AT$211,24,FALSE)</f>
        <v xml:space="preserve"> </v>
      </c>
      <c r="AD26" s="286">
        <v>23</v>
      </c>
      <c r="AE26" s="79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</row>
    <row r="27" spans="1:59" s="82" customFormat="1" ht="12.6" customHeight="1">
      <c r="A27" s="218">
        <v>24</v>
      </c>
      <c r="B27" s="487" t="s">
        <v>795</v>
      </c>
      <c r="C27" s="801">
        <f>VLOOKUP("Call Phase",Data!$A$2837:$AT$2837,25,FALSE)</f>
        <v>8</v>
      </c>
      <c r="D27" s="802">
        <f>VLOOKUP("Switch Phase",Data!$A$2849:$AT$2849,25,FALSE)</f>
        <v>0</v>
      </c>
      <c r="E27" s="803">
        <f>VLOOKUP("Delay Time",Data!$A$2838:$AT$2838,25,FALSE)</f>
        <v>0</v>
      </c>
      <c r="F27" s="803" t="s">
        <v>34</v>
      </c>
      <c r="G27" s="803">
        <f>VLOOKUP("Queue Limit",Data!$A$2847:$AT$2847,25,FALSE)</f>
        <v>0</v>
      </c>
      <c r="H27" s="803">
        <f>VLOOKUP("No Activity",Data!$A$2844:$AT$2844,25,FALSE)</f>
        <v>0</v>
      </c>
      <c r="I27" s="803">
        <f>VLOOKUP("Max Presence",Data!$A$2843:$AT$2843,25,FALSE)</f>
        <v>0</v>
      </c>
      <c r="J27" s="803">
        <f>VLOOKUP("Erratic Counts",Data!$A$2839:$AT$2839,25,FALSE)</f>
        <v>0</v>
      </c>
      <c r="K27" s="804">
        <f>VLOOKUP("Fail Time",Data!$A$2842:$AT$2842,25,FALSE)</f>
        <v>255</v>
      </c>
      <c r="L27" s="293">
        <v>24</v>
      </c>
      <c r="M27" s="812" t="s">
        <v>34</v>
      </c>
      <c r="N27" s="803" t="s">
        <v>34</v>
      </c>
      <c r="O27" s="803" t="str">
        <f>IF(VLOOKUP("Queue",Data!$A$2846:$AT$2846,25,FALSE)= "On", "X", "-")</f>
        <v>-</v>
      </c>
      <c r="P27" s="803" t="str">
        <f>IF(VLOOKUP("Added Initial",Data!$A$2835:$AT$2835,25,FALSE)= "On", "X", "-")</f>
        <v>-</v>
      </c>
      <c r="Q27" s="803" t="str">
        <f>IF(VLOOKUP("Red Lock",Data!$A$2848:$AT$2848,25,FALSE)= "On", "X", "-")</f>
        <v>-</v>
      </c>
      <c r="R27" s="803" t="str">
        <f>IF(VLOOKUP("Yellow Lock",Data!$A$2851:$AT$2851,25,FALSE)= "On", "X", "-")</f>
        <v>-</v>
      </c>
      <c r="S27" s="803" t="str">
        <f>IF(VLOOKUP("Occupancy",Data!$A$2845:$AT$2845,25,FALSE)= "On", "X", "-")</f>
        <v>-</v>
      </c>
      <c r="T27" s="804" t="s">
        <v>34</v>
      </c>
      <c r="U27" s="293">
        <v>24</v>
      </c>
      <c r="V27" s="812" t="str">
        <f>IF(VLOOKUP("Green Occupancy",Data!$A$2942:$AT$2942,25,FALSE)="On", "X", "-")</f>
        <v>X</v>
      </c>
      <c r="W27" s="803" t="str">
        <f>IF(VLOOKUP("Yellow Occupancy",Data!$A$2945:$AT$2945,25,FALSE)="On", "X", "-")</f>
        <v>X</v>
      </c>
      <c r="X27" s="803" t="str">
        <f>IF(VLOOKUP("Red Occupancy",Data!$A$2943:$AT$2943,25,FALSE)="On", "X", "-")</f>
        <v>-</v>
      </c>
      <c r="Y27" s="803">
        <f>VLOOKUP("Delay Phase 1",Data!$A$2939:$AT$2939,25,FALSE)</f>
        <v>0</v>
      </c>
      <c r="Z27" s="803">
        <f>VLOOKUP("Delay Phase 2",Data!$A$2940:$AT$2940,25,FALSE)</f>
        <v>0</v>
      </c>
      <c r="AA27" s="947" t="str">
        <f>VLOOKUP("External Mode",Data!$A$2937:$AT$2946,25,FALSE)</f>
        <v>STOPB</v>
      </c>
      <c r="AB27" s="804">
        <f>VLOOKUP("Source",Data!$A$2937:$AT$2946,25,FALSE)</f>
        <v>0</v>
      </c>
      <c r="AC27" s="823" t="s">
        <v>34</v>
      </c>
      <c r="AD27" s="286">
        <v>24</v>
      </c>
      <c r="AE27" s="79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</row>
    <row r="28" spans="1:59" s="82" customFormat="1" ht="12.6" customHeight="1">
      <c r="A28" s="218">
        <v>25</v>
      </c>
      <c r="B28" s="487" t="s">
        <v>796</v>
      </c>
      <c r="C28" s="801">
        <f>VLOOKUP("Call Phase",Data!$A$2837:$AT$2837,26,FALSE)</f>
        <v>8</v>
      </c>
      <c r="D28" s="802">
        <f>VLOOKUP("Switch Phase",Data!$A$2849:$AT$2849,26,FALSE)</f>
        <v>0</v>
      </c>
      <c r="E28" s="803">
        <f>VLOOKUP("Delay Time",Data!$A$2838:$AT$2838,26,FALSE)</f>
        <v>0</v>
      </c>
      <c r="F28" s="803" t="s">
        <v>34</v>
      </c>
      <c r="G28" s="803">
        <f>VLOOKUP("Queue Limit",Data!$A$2847:$AT$2847,26,FALSE)</f>
        <v>0</v>
      </c>
      <c r="H28" s="803">
        <f>VLOOKUP("No Activity",Data!$A$2844:$AT$2844,26,FALSE)</f>
        <v>0</v>
      </c>
      <c r="I28" s="803">
        <f>VLOOKUP("Max Presence",Data!$A$2843:$AT$2843,26,FALSE)</f>
        <v>0</v>
      </c>
      <c r="J28" s="803">
        <f>VLOOKUP("Erratic Counts",Data!$A$2839:$AT$2839,26,FALSE)</f>
        <v>0</v>
      </c>
      <c r="K28" s="804">
        <f>VLOOKUP("Fail Time",Data!$A$2842:$AT$2842,26,FALSE)</f>
        <v>255</v>
      </c>
      <c r="L28" s="293">
        <v>25</v>
      </c>
      <c r="M28" s="812" t="s">
        <v>34</v>
      </c>
      <c r="N28" s="803" t="s">
        <v>34</v>
      </c>
      <c r="O28" s="803" t="str">
        <f>IF(VLOOKUP("Queue",Data!$A$2846:$AT$2846,26,FALSE)= "On", "X", "-")</f>
        <v>-</v>
      </c>
      <c r="P28" s="803" t="str">
        <f>IF(VLOOKUP("Added Initial",Data!$A$2835:$AT$2835,26,FALSE)= "On", "X", "-")</f>
        <v>-</v>
      </c>
      <c r="Q28" s="803" t="str">
        <f>IF(VLOOKUP("Red Lock",Data!$A$2848:$AT$2848,26,FALSE)= "On", "X", "-")</f>
        <v>-</v>
      </c>
      <c r="R28" s="803" t="str">
        <f>IF(VLOOKUP("Yellow Lock",Data!$A$2851:$AT$2851,26,FALSE)= "On", "X", "-")</f>
        <v>-</v>
      </c>
      <c r="S28" s="803" t="str">
        <f>IF(VLOOKUP("Occupancy",Data!$A$2845:$AT$2845,26,FALSE)= "On", "X", "-")</f>
        <v>-</v>
      </c>
      <c r="T28" s="804" t="s">
        <v>34</v>
      </c>
      <c r="U28" s="293">
        <v>25</v>
      </c>
      <c r="V28" s="812" t="str">
        <f>IF(VLOOKUP("Green Occupancy",Data!$A$2942:$AT$2942,26,FALSE)="On", "X", "-")</f>
        <v>X</v>
      </c>
      <c r="W28" s="803" t="str">
        <f>IF(VLOOKUP("Yellow Occupancy",Data!$A$2945:$AT$2945,26,FALSE)="On", "X", "-")</f>
        <v>X</v>
      </c>
      <c r="X28" s="803" t="str">
        <f>IF(VLOOKUP("Red Occupancy",Data!$A$2943:$AT$2943,26,FALSE)="On", "X", "-")</f>
        <v>-</v>
      </c>
      <c r="Y28" s="803">
        <f>VLOOKUP("Delay Phase 1",Data!$A$2939:$AT$2939,26,FALSE)</f>
        <v>0</v>
      </c>
      <c r="Z28" s="803">
        <f>VLOOKUP("Delay Phase 2",Data!$A$2940:$AT$2940,26,FALSE)</f>
        <v>0</v>
      </c>
      <c r="AA28" s="947" t="str">
        <f>VLOOKUP("External Mode",Data!$A$2937:$AT$2946,26,FALSE)</f>
        <v>STOPB</v>
      </c>
      <c r="AB28" s="804">
        <f>VLOOKUP("Source",Data!$A$2937:$AT$2946,26,FALSE)</f>
        <v>0</v>
      </c>
      <c r="AC28" s="823" t="s">
        <v>34</v>
      </c>
      <c r="AD28" s="286">
        <v>25</v>
      </c>
      <c r="AE28" s="79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</row>
    <row r="29" spans="1:59" s="82" customFormat="1" ht="12.6" customHeight="1">
      <c r="A29" s="218">
        <v>26</v>
      </c>
      <c r="B29" s="487" t="s">
        <v>797</v>
      </c>
      <c r="C29" s="801">
        <f>VLOOKUP("Call Phase",Data!$A$2837:$AT$2837,27,FALSE)</f>
        <v>8</v>
      </c>
      <c r="D29" s="802">
        <f>VLOOKUP("Switch Phase",Data!$A$2849:$AT$2849,27,FALSE)</f>
        <v>0</v>
      </c>
      <c r="E29" s="803">
        <f>VLOOKUP("Delay Time",Data!$A$2838:$AT$2838,27,FALSE)</f>
        <v>0</v>
      </c>
      <c r="F29" s="803" t="s">
        <v>34</v>
      </c>
      <c r="G29" s="803">
        <f>VLOOKUP("Queue Limit",Data!$A$2847:$AT$2847,27,FALSE)</f>
        <v>0</v>
      </c>
      <c r="H29" s="803">
        <f>VLOOKUP("No Activity",Data!$A$2844:$AT$2844,27,FALSE)</f>
        <v>0</v>
      </c>
      <c r="I29" s="803">
        <f>VLOOKUP("Max Presence",Data!$A$2843:$AT$2843,27,FALSE)</f>
        <v>0</v>
      </c>
      <c r="J29" s="803">
        <f>VLOOKUP("Erratic Counts",Data!$A$2839:$AT$2839,27,FALSE)</f>
        <v>0</v>
      </c>
      <c r="K29" s="804">
        <f>VLOOKUP("Fail Time",Data!$A$2842:$AT$2842,27,FALSE)</f>
        <v>255</v>
      </c>
      <c r="L29" s="293">
        <v>26</v>
      </c>
      <c r="M29" s="812" t="s">
        <v>34</v>
      </c>
      <c r="N29" s="803" t="s">
        <v>34</v>
      </c>
      <c r="O29" s="803" t="str">
        <f>IF(VLOOKUP("Queue",Data!$A$2846:$AT$2846,27,FALSE)= "On", "X", "-")</f>
        <v>-</v>
      </c>
      <c r="P29" s="803" t="str">
        <f>IF(VLOOKUP("Added Initial",Data!$A$2835:$AT$2835,27,FALSE)= "On", "X", "-")</f>
        <v>-</v>
      </c>
      <c r="Q29" s="803" t="str">
        <f>IF(VLOOKUP("Red Lock",Data!$A$2848:$AT$2848,27,FALSE)= "On", "X", "-")</f>
        <v>-</v>
      </c>
      <c r="R29" s="803" t="str">
        <f>IF(VLOOKUP("Yellow Lock",Data!$A$2851:$AT$2851,27,FALSE)= "On", "X", "-")</f>
        <v>-</v>
      </c>
      <c r="S29" s="803" t="str">
        <f>IF(VLOOKUP("Occupancy",Data!$A$2845:$AT$2845,27,FALSE)= "On", "X", "-")</f>
        <v>-</v>
      </c>
      <c r="T29" s="804" t="s">
        <v>34</v>
      </c>
      <c r="U29" s="293">
        <v>26</v>
      </c>
      <c r="V29" s="812" t="str">
        <f>IF(VLOOKUP("Green Occupancy",Data!$A$2942:$AT$2942,27,FALSE)="On", "X", "-")</f>
        <v>X</v>
      </c>
      <c r="W29" s="803" t="str">
        <f>IF(VLOOKUP("Yellow Occupancy",Data!$A$2945:$AT$2945,27,FALSE)="On", "X", "-")</f>
        <v>X</v>
      </c>
      <c r="X29" s="803" t="str">
        <f>IF(VLOOKUP("Red Occupancy",Data!$A$2943:$AT$2943,27,FALSE)="On", "X", "-")</f>
        <v>-</v>
      </c>
      <c r="Y29" s="803">
        <f>VLOOKUP("Delay Phase 1",Data!$A$2939:$AT$2939,27,FALSE)</f>
        <v>0</v>
      </c>
      <c r="Z29" s="803">
        <f>VLOOKUP("Delay Phase 2",Data!$A$2940:$AT$2940,27,FALSE)</f>
        <v>0</v>
      </c>
      <c r="AA29" s="947" t="str">
        <f>VLOOKUP("External Mode",Data!$A$2937:$AT$2946,27,FALSE)</f>
        <v>STOPB</v>
      </c>
      <c r="AB29" s="804">
        <f>VLOOKUP("Source",Data!$A$2937:$AT$2946,27,FALSE)</f>
        <v>0</v>
      </c>
      <c r="AC29" s="823" t="s">
        <v>34</v>
      </c>
      <c r="AD29" s="286">
        <v>26</v>
      </c>
      <c r="AE29" s="7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30" spans="1:59" s="82" customFormat="1" ht="12.6" customHeight="1">
      <c r="A30" s="218">
        <v>27</v>
      </c>
      <c r="B30" s="796" t="s">
        <v>798</v>
      </c>
      <c r="C30" s="805">
        <f>VLOOKUP("Call Phase",Data!$A$2837:$AT$2837,28,FALSE)</f>
        <v>5</v>
      </c>
      <c r="D30" s="806">
        <f>VLOOKUP("Switch Phase",Data!$A$2849:$AT$2849,28,FALSE)</f>
        <v>0</v>
      </c>
      <c r="E30" s="827">
        <f>VLOOKUP("Delay Time",Data!$A$2838:$AT$2838,28,FALSE)</f>
        <v>0</v>
      </c>
      <c r="F30" s="827">
        <f>VLOOKUP("Extend Time",Data!$A$2841:$AT$2841,28,FALSE)</f>
        <v>0</v>
      </c>
      <c r="G30" s="827">
        <f>VLOOKUP("Queue Limit",Data!$A$2847:$AT$2847,28,FALSE)</f>
        <v>0</v>
      </c>
      <c r="H30" s="827">
        <f>VLOOKUP("No Activity",Data!$A$2844:$AT$2844,28,FALSE)</f>
        <v>0</v>
      </c>
      <c r="I30" s="827">
        <f>VLOOKUP("Max Presence",Data!$A$2843:$AT$2843,28,FALSE)</f>
        <v>0</v>
      </c>
      <c r="J30" s="827">
        <f>VLOOKUP("Erratic Counts",Data!$A$2839:$AT$2839,28,FALSE)</f>
        <v>0</v>
      </c>
      <c r="K30" s="807">
        <f>VLOOKUP("Fail Time",Data!$A$2842:$AT$2842,28,FALSE)</f>
        <v>255</v>
      </c>
      <c r="L30" s="293">
        <v>27</v>
      </c>
      <c r="M30" s="813" t="s">
        <v>34</v>
      </c>
      <c r="N30" s="827" t="s">
        <v>34</v>
      </c>
      <c r="O30" s="827" t="str">
        <f>IF(VLOOKUP("Queue",Data!$A$2846:$AT$2846,28,FALSE)= "On", "X", "-")</f>
        <v>-</v>
      </c>
      <c r="P30" s="827" t="str">
        <f>IF(VLOOKUP("Added Initial",Data!$A$2835:$AT$2835,28,FALSE)= "On", "X", "-")</f>
        <v>-</v>
      </c>
      <c r="Q30" s="827" t="str">
        <f>IF(VLOOKUP("Red Lock",Data!$A$2848:$AT$2848,28,FALSE)= "On", "X", "-")</f>
        <v>-</v>
      </c>
      <c r="R30" s="827" t="str">
        <f>IF(VLOOKUP("Yellow Lock",Data!$A$2851:$AT$2851,28,FALSE)= "On", "X", "-")</f>
        <v>-</v>
      </c>
      <c r="S30" s="827" t="str">
        <f>IF(VLOOKUP("Occupancy",Data!$A$2845:$AT$2845,28,FALSE)= "On", "X", "-")</f>
        <v>-</v>
      </c>
      <c r="T30" s="807" t="s">
        <v>34</v>
      </c>
      <c r="U30" s="293">
        <v>27</v>
      </c>
      <c r="V30" s="813" t="str">
        <f>IF(VLOOKUP("Green Occupancy",Data!$A$2942:$AT$2942,28,FALSE)="On", "X", "-")</f>
        <v>X</v>
      </c>
      <c r="W30" s="827" t="str">
        <f>IF(VLOOKUP("Yellow Occupancy",Data!$A$2945:$AT$2945,28,FALSE)="On", "X", "-")</f>
        <v>X</v>
      </c>
      <c r="X30" s="827" t="str">
        <f>IF(VLOOKUP("Red Occupancy",Data!$A$2943:$AT$2943,28,FALSE)="On", "X", "-")</f>
        <v>-</v>
      </c>
      <c r="Y30" s="827">
        <f>VLOOKUP("Delay Phase 1",Data!$A$2939:$AT$2939,28,FALSE)</f>
        <v>0</v>
      </c>
      <c r="Z30" s="827">
        <f>VLOOKUP("Delay Phase 2",Data!$A$2940:$AT$2940,28,FALSE)</f>
        <v>0</v>
      </c>
      <c r="AA30" s="947" t="str">
        <f>VLOOKUP("External Mode",Data!$A$2937:$AT$2946,28,FALSE)</f>
        <v>NORM</v>
      </c>
      <c r="AB30" s="945">
        <f>VLOOKUP("Source",Data!$A$2937:$AT$2946,28,FALSE)</f>
        <v>0</v>
      </c>
      <c r="AC30" s="822" t="str">
        <f>VLOOKUP("Direction",Data!$A$208:$AT$211,28,FALSE)</f>
        <v xml:space="preserve"> </v>
      </c>
      <c r="AD30" s="286">
        <v>27</v>
      </c>
      <c r="AE30" s="79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59" s="82" customFormat="1" ht="12.6" customHeight="1">
      <c r="A31" s="218">
        <v>28</v>
      </c>
      <c r="B31" s="796" t="s">
        <v>799</v>
      </c>
      <c r="C31" s="805">
        <f>VLOOKUP("Call Phase",Data!$A$2837:$AT$2837,29,FALSE)</f>
        <v>7</v>
      </c>
      <c r="D31" s="806">
        <f>VLOOKUP("Switch Phase",Data!$A$2849:$AT$2849,29,FALSE)</f>
        <v>0</v>
      </c>
      <c r="E31" s="827">
        <f>VLOOKUP("Delay Time",Data!$A$2838:$AT$2838,29,FALSE)</f>
        <v>0</v>
      </c>
      <c r="F31" s="827">
        <f>VLOOKUP("Extend Time",Data!$A$2841:$AT$2841,29,FALSE)</f>
        <v>0</v>
      </c>
      <c r="G31" s="827">
        <f>VLOOKUP("Queue Limit",Data!$A$2847:$AT$2847,29,FALSE)</f>
        <v>0</v>
      </c>
      <c r="H31" s="827">
        <f>VLOOKUP("No Activity",Data!$A$2844:$AT$2844,29,FALSE)</f>
        <v>0</v>
      </c>
      <c r="I31" s="827">
        <f>VLOOKUP("Max Presence",Data!$A$2843:$AT$2843,29,FALSE)</f>
        <v>0</v>
      </c>
      <c r="J31" s="827">
        <f>VLOOKUP("Erratic Counts",Data!$A$2839:$AT$2839,29,FALSE)</f>
        <v>0</v>
      </c>
      <c r="K31" s="807">
        <f>VLOOKUP("Fail Time",Data!$A$2842:$AT$2842,29,FALSE)</f>
        <v>255</v>
      </c>
      <c r="L31" s="293">
        <v>28</v>
      </c>
      <c r="M31" s="813" t="s">
        <v>34</v>
      </c>
      <c r="N31" s="827" t="s">
        <v>34</v>
      </c>
      <c r="O31" s="827" t="str">
        <f>IF(VLOOKUP("Queue",Data!$A$2846:$AT$2846,29,FALSE)= "On", "X", "-")</f>
        <v>-</v>
      </c>
      <c r="P31" s="827" t="str">
        <f>IF(VLOOKUP("Added Initial",Data!$A$2835:$AT$2835,29,FALSE)= "On", "X", "-")</f>
        <v>-</v>
      </c>
      <c r="Q31" s="827" t="str">
        <f>IF(VLOOKUP("Red Lock",Data!$A$2848:$AT$2848,29,FALSE)= "On", "X", "-")</f>
        <v>-</v>
      </c>
      <c r="R31" s="827" t="str">
        <f>IF(VLOOKUP("Yellow Lock",Data!$A$2851:$AT$2851,29,FALSE)= "On", "X", "-")</f>
        <v>-</v>
      </c>
      <c r="S31" s="827" t="str">
        <f>IF(VLOOKUP("Occupancy",Data!$A$2845:$AT$2845,29,FALSE)= "On", "X", "-")</f>
        <v>-</v>
      </c>
      <c r="T31" s="807" t="s">
        <v>34</v>
      </c>
      <c r="U31" s="293">
        <v>28</v>
      </c>
      <c r="V31" s="813" t="str">
        <f>IF(VLOOKUP("Green Occupancy",Data!$A$2942:$AT$2942,29,FALSE)="On", "X", "-")</f>
        <v>X</v>
      </c>
      <c r="W31" s="827" t="str">
        <f>IF(VLOOKUP("Yellow Occupancy",Data!$A$2945:$AT$2945,29,FALSE)="On", "X", "-")</f>
        <v>X</v>
      </c>
      <c r="X31" s="827" t="str">
        <f>IF(VLOOKUP("Red Occupancy",Data!$A$2943:$AT$2943,29,FALSE)="On", "X", "-")</f>
        <v>-</v>
      </c>
      <c r="Y31" s="827">
        <f>VLOOKUP("Delay Phase 1",Data!$A$2939:$AT$2939,29,FALSE)</f>
        <v>0</v>
      </c>
      <c r="Z31" s="827">
        <f>VLOOKUP("Delay Phase 2",Data!$A$2940:$AT$2940,29,FALSE)</f>
        <v>0</v>
      </c>
      <c r="AA31" s="947" t="str">
        <f>VLOOKUP("External Mode",Data!$A$2937:$AT$2946,29,FALSE)</f>
        <v>NORM</v>
      </c>
      <c r="AB31" s="945">
        <f>VLOOKUP("Source",Data!$A$2937:$AT$2946,29,FALSE)</f>
        <v>0</v>
      </c>
      <c r="AC31" s="822" t="str">
        <f>VLOOKUP("Direction",Data!$A$208:$AT$211,29,FALSE)</f>
        <v xml:space="preserve"> </v>
      </c>
      <c r="AD31" s="286">
        <v>28</v>
      </c>
      <c r="AE31" s="79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</row>
    <row r="32" spans="1:59" s="82" customFormat="1" ht="12.6" customHeight="1">
      <c r="A32" s="218">
        <v>29</v>
      </c>
      <c r="B32" s="487" t="s">
        <v>800</v>
      </c>
      <c r="C32" s="801">
        <f>VLOOKUP("Call Phase",Data!$A$2837:$AT$2837,30,FALSE)</f>
        <v>2</v>
      </c>
      <c r="D32" s="802">
        <f>VLOOKUP("Switch Phase",Data!$A$2849:$AT$2849,30,FALSE)</f>
        <v>0</v>
      </c>
      <c r="E32" s="803" t="s">
        <v>34</v>
      </c>
      <c r="F32" s="803" t="s">
        <v>34</v>
      </c>
      <c r="G32" s="803">
        <f>VLOOKUP("Queue Limit",Data!$A$2847:$AT$2847,30,FALSE)</f>
        <v>0</v>
      </c>
      <c r="H32" s="803">
        <f>VLOOKUP("No Activity",Data!$A$2844:$AT$2844,30,FALSE)</f>
        <v>0</v>
      </c>
      <c r="I32" s="803">
        <f>VLOOKUP("Max Presence",Data!$A$2843:$AT$2843,30,FALSE)</f>
        <v>0</v>
      </c>
      <c r="J32" s="803">
        <f>VLOOKUP("Erratic Counts",Data!$A$2839:$AT$2839,30,FALSE)</f>
        <v>0</v>
      </c>
      <c r="K32" s="804">
        <f>VLOOKUP("Fail Time",Data!$A$2842:$AT$2842,30,FALSE)</f>
        <v>255</v>
      </c>
      <c r="L32" s="293">
        <v>29</v>
      </c>
      <c r="M32" s="812" t="s">
        <v>34</v>
      </c>
      <c r="N32" s="803" t="s">
        <v>34</v>
      </c>
      <c r="O32" s="803" t="str">
        <f>IF(VLOOKUP("Queue",Data!$A$2846:$AT$2846,30,FALSE)= "On", "X", "-")</f>
        <v>-</v>
      </c>
      <c r="P32" s="803" t="str">
        <f>IF(VLOOKUP("Added Initial",Data!$A$2835:$AT$2835,30,FALSE)= "On", "X", "-")</f>
        <v>-</v>
      </c>
      <c r="Q32" s="803" t="str">
        <f>IF(VLOOKUP("Red Lock",Data!$A$2848:$AT$2848,30,FALSE)= "On", "X", "-")</f>
        <v>-</v>
      </c>
      <c r="R32" s="803" t="str">
        <f>IF(VLOOKUP("Yellow Lock",Data!$A$2851:$AT$2851,30,FALSE)= "On", "X", "-")</f>
        <v>-</v>
      </c>
      <c r="S32" s="803" t="str">
        <f>IF(VLOOKUP("Occupancy",Data!$A$2845:$AT$2845,30,FALSE)= "On", "X", "-")</f>
        <v>-</v>
      </c>
      <c r="T32" s="804" t="s">
        <v>34</v>
      </c>
      <c r="U32" s="293">
        <v>29</v>
      </c>
      <c r="V32" s="812" t="str">
        <f>IF(VLOOKUP("Green Occupancy",Data!$A$2942:$AT$2942,30,FALSE)="On", "X", "-")</f>
        <v>X</v>
      </c>
      <c r="W32" s="803" t="str">
        <f>IF(VLOOKUP("Yellow Occupancy",Data!$A$2945:$AT$2945,30,FALSE)="On", "X", "-")</f>
        <v>X</v>
      </c>
      <c r="X32" s="803" t="str">
        <f>IF(VLOOKUP("Red Occupancy",Data!$A$2943:$AT$2943,30,FALSE)="On", "X", "-")</f>
        <v>-</v>
      </c>
      <c r="Y32" s="803">
        <f>VLOOKUP("Delay Phase 1",Data!$A$2939:$AT$2939,30,FALSE)</f>
        <v>0</v>
      </c>
      <c r="Z32" s="803">
        <f>VLOOKUP("Delay Phase 2",Data!$A$2940:$AT$2940,30,FALSE)</f>
        <v>0</v>
      </c>
      <c r="AA32" s="947" t="str">
        <f>VLOOKUP("External Mode",Data!$A$2937:$AT$2946,30,FALSE)</f>
        <v>STOPB</v>
      </c>
      <c r="AB32" s="804">
        <f>VLOOKUP("Source",Data!$A$2937:$AT$2946,30,FALSE)</f>
        <v>0</v>
      </c>
      <c r="AC32" s="823" t="str">
        <f>VLOOKUP("Direction",Data!$A$208:$AT$211,30,FALSE)</f>
        <v xml:space="preserve"> </v>
      </c>
      <c r="AD32" s="285">
        <v>29</v>
      </c>
      <c r="AE32" s="79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</row>
    <row r="33" spans="1:59" s="82" customFormat="1" ht="12.6" customHeight="1">
      <c r="A33" s="218">
        <v>30</v>
      </c>
      <c r="B33" s="487" t="s">
        <v>801</v>
      </c>
      <c r="C33" s="801">
        <f>VLOOKUP("Call Phase",Data!$A$2837:$AT$2837,31,FALSE)</f>
        <v>4</v>
      </c>
      <c r="D33" s="802">
        <f>VLOOKUP("Switch Phase",Data!$A$2849:$AT$2849,31,FALSE)</f>
        <v>0</v>
      </c>
      <c r="E33" s="803" t="s">
        <v>34</v>
      </c>
      <c r="F33" s="803" t="s">
        <v>34</v>
      </c>
      <c r="G33" s="803">
        <f>VLOOKUP("Queue Limit",Data!$A$2847:$AT$2847,31,FALSE)</f>
        <v>0</v>
      </c>
      <c r="H33" s="803">
        <f>VLOOKUP("No Activity",Data!$A$2844:$AT$2844,31,FALSE)</f>
        <v>0</v>
      </c>
      <c r="I33" s="803">
        <f>VLOOKUP("Max Presence",Data!$A$2843:$AT$2843,31,FALSE)</f>
        <v>0</v>
      </c>
      <c r="J33" s="803">
        <f>VLOOKUP("Erratic Counts",Data!$A$2839:$AT$2839,31,FALSE)</f>
        <v>0</v>
      </c>
      <c r="K33" s="804">
        <f>VLOOKUP("Fail Time",Data!$A$2842:$AT$2842,31,FALSE)</f>
        <v>255</v>
      </c>
      <c r="L33" s="293">
        <v>30</v>
      </c>
      <c r="M33" s="812" t="s">
        <v>34</v>
      </c>
      <c r="N33" s="803" t="s">
        <v>34</v>
      </c>
      <c r="O33" s="803" t="str">
        <f>IF(VLOOKUP("Queue",Data!$A$2846:$AT$2846,31,FALSE)= "On", "X", "-")</f>
        <v>-</v>
      </c>
      <c r="P33" s="803" t="str">
        <f>IF(VLOOKUP("Added Initial",Data!$A$2835:$AT$2835,31,FALSE)= "On", "X", "-")</f>
        <v>-</v>
      </c>
      <c r="Q33" s="803" t="str">
        <f>IF(VLOOKUP("Red Lock",Data!$A$2848:$AT$2848,31,FALSE)= "On", "X", "-")</f>
        <v>-</v>
      </c>
      <c r="R33" s="803" t="str">
        <f>IF(VLOOKUP("Yellow Lock",Data!$A$2851:$AT$2851,31,FALSE)= "On", "X", "-")</f>
        <v>-</v>
      </c>
      <c r="S33" s="803" t="str">
        <f>IF(VLOOKUP("Occupancy",Data!$A$2845:$AT$2845,31,FALSE)= "On", "X", "-")</f>
        <v>-</v>
      </c>
      <c r="T33" s="804" t="s">
        <v>34</v>
      </c>
      <c r="U33" s="293">
        <v>30</v>
      </c>
      <c r="V33" s="812" t="str">
        <f>IF(VLOOKUP("Green Occupancy",Data!$A$2942:$AT$2942,31,FALSE)="On", "X", "-")</f>
        <v>X</v>
      </c>
      <c r="W33" s="803" t="str">
        <f>IF(VLOOKUP("Yellow Occupancy",Data!$A$2945:$AT$2945,31,FALSE)="On", "X", "-")</f>
        <v>X</v>
      </c>
      <c r="X33" s="803" t="str">
        <f>IF(VLOOKUP("Red Occupancy",Data!$A$2943:$AT$2943,31,FALSE)="On", "X", "-")</f>
        <v>-</v>
      </c>
      <c r="Y33" s="803">
        <f>VLOOKUP("Delay Phase 1",Data!$A$2939:$AT$2939,31,FALSE)</f>
        <v>0</v>
      </c>
      <c r="Z33" s="803">
        <f>VLOOKUP("Delay Phase 2",Data!$A$2940:$AT$2940,31,FALSE)</f>
        <v>0</v>
      </c>
      <c r="AA33" s="947" t="str">
        <f>VLOOKUP("External Mode",Data!$A$2937:$AT$2946,31,FALSE)</f>
        <v>STOPB</v>
      </c>
      <c r="AB33" s="804">
        <f>VLOOKUP("Source",Data!$A$2937:$AT$2946,31,FALSE)</f>
        <v>0</v>
      </c>
      <c r="AC33" s="823" t="str">
        <f>VLOOKUP("Direction",Data!$A$208:$AT$211,31,FALSE)</f>
        <v xml:space="preserve"> </v>
      </c>
      <c r="AD33" s="286">
        <v>30</v>
      </c>
      <c r="AE33" s="79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</row>
    <row r="34" spans="1:59" s="82" customFormat="1" ht="12.6" customHeight="1">
      <c r="A34" s="218">
        <v>31</v>
      </c>
      <c r="B34" s="487" t="s">
        <v>802</v>
      </c>
      <c r="C34" s="801">
        <f>VLOOKUP("Call Phase",Data!$A$2837:$AT$2837,32,FALSE)</f>
        <v>6</v>
      </c>
      <c r="D34" s="802">
        <f>VLOOKUP("Switch Phase",Data!$A$2849:$AT$2849,32,FALSE)</f>
        <v>0</v>
      </c>
      <c r="E34" s="803" t="s">
        <v>34</v>
      </c>
      <c r="F34" s="803" t="s">
        <v>34</v>
      </c>
      <c r="G34" s="803">
        <f>VLOOKUP("Queue Limit",Data!$A$2847:$AT$2847,32,FALSE)</f>
        <v>0</v>
      </c>
      <c r="H34" s="803">
        <f>VLOOKUP("No Activity",Data!$A$2844:$AT$2844,32,FALSE)</f>
        <v>0</v>
      </c>
      <c r="I34" s="803">
        <f>VLOOKUP("Max Presence",Data!$A$2843:$AT$2843,32,FALSE)</f>
        <v>0</v>
      </c>
      <c r="J34" s="803">
        <f>VLOOKUP("Erratic Counts",Data!$A$2839:$AT$2839,32,FALSE)</f>
        <v>0</v>
      </c>
      <c r="K34" s="804">
        <f>VLOOKUP("Fail Time",Data!$A$2842:$AT$2842,32,FALSE)</f>
        <v>255</v>
      </c>
      <c r="L34" s="293">
        <v>31</v>
      </c>
      <c r="M34" s="812" t="s">
        <v>34</v>
      </c>
      <c r="N34" s="803" t="s">
        <v>34</v>
      </c>
      <c r="O34" s="803" t="str">
        <f>IF(VLOOKUP("Queue",Data!$A$2846:$AT$2846,32,FALSE)= "On", "X", "-")</f>
        <v>-</v>
      </c>
      <c r="P34" s="803" t="str">
        <f>IF(VLOOKUP("Added Initial",Data!$A$2835:$AT$2835,32,FALSE)= "On", "X", "-")</f>
        <v>-</v>
      </c>
      <c r="Q34" s="803" t="str">
        <f>IF(VLOOKUP("Red Lock",Data!$A$2848:$AT$2848,32,FALSE)= "On", "X", "-")</f>
        <v>-</v>
      </c>
      <c r="R34" s="803" t="str">
        <f>IF(VLOOKUP("Yellow Lock",Data!$A$2851:$AT$2851,32,FALSE)= "On", "X", "-")</f>
        <v>-</v>
      </c>
      <c r="S34" s="803" t="str">
        <f>IF(VLOOKUP("Occupancy",Data!$A$2845:$AT$2845,32,FALSE)= "On", "X", "-")</f>
        <v>-</v>
      </c>
      <c r="T34" s="804" t="s">
        <v>34</v>
      </c>
      <c r="U34" s="293">
        <v>31</v>
      </c>
      <c r="V34" s="812" t="str">
        <f>IF(VLOOKUP("Green Occupancy",Data!$A$2942:$AT$2942,32,FALSE)="On", "X", "-")</f>
        <v>X</v>
      </c>
      <c r="W34" s="803" t="str">
        <f>IF(VLOOKUP("Yellow Occupancy",Data!$A$2945:$AT$2945,32,FALSE)="On", "X", "-")</f>
        <v>X</v>
      </c>
      <c r="X34" s="803" t="str">
        <f>IF(VLOOKUP("Red Occupancy",Data!$A$2943:$AT$2943,32,FALSE)="On", "X", "-")</f>
        <v>-</v>
      </c>
      <c r="Y34" s="803">
        <f>VLOOKUP("Delay Phase 1",Data!$A$2939:$AT$2939,32,FALSE)</f>
        <v>0</v>
      </c>
      <c r="Z34" s="803">
        <f>VLOOKUP("Delay Phase 2",Data!$A$2940:$AT$2940,32,FALSE)</f>
        <v>0</v>
      </c>
      <c r="AA34" s="947" t="str">
        <f>VLOOKUP("External Mode",Data!$A$2937:$AT$2946,32,FALSE)</f>
        <v>STOPB</v>
      </c>
      <c r="AB34" s="804">
        <f>VLOOKUP("Source",Data!$A$2937:$AT$2946,32,FALSE)</f>
        <v>0</v>
      </c>
      <c r="AC34" s="823" t="str">
        <f>VLOOKUP("Direction",Data!$A$208:$AT$211,32,FALSE)</f>
        <v xml:space="preserve"> </v>
      </c>
      <c r="AD34" s="286">
        <v>31</v>
      </c>
      <c r="AE34" s="79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1:59" s="82" customFormat="1" ht="12.6" customHeight="1">
      <c r="A35" s="218">
        <v>32</v>
      </c>
      <c r="B35" s="487" t="s">
        <v>803</v>
      </c>
      <c r="C35" s="801">
        <f>VLOOKUP("Call Phase",Data!$A$2837:$AT$2837,33,FALSE)</f>
        <v>8</v>
      </c>
      <c r="D35" s="802">
        <f>VLOOKUP("Switch Phase",Data!$A$2849:$AT$2849,33,FALSE)</f>
        <v>0</v>
      </c>
      <c r="E35" s="803" t="s">
        <v>34</v>
      </c>
      <c r="F35" s="803" t="s">
        <v>34</v>
      </c>
      <c r="G35" s="803">
        <f>VLOOKUP("Queue Limit",Data!$A$2847:$AT$2847,33,FALSE)</f>
        <v>0</v>
      </c>
      <c r="H35" s="803">
        <f>VLOOKUP("No Activity",Data!$A$2844:$AT$2844,33,FALSE)</f>
        <v>0</v>
      </c>
      <c r="I35" s="803">
        <f>VLOOKUP("Max Presence",Data!$A$2843:$AT$2843,33,FALSE)</f>
        <v>0</v>
      </c>
      <c r="J35" s="803">
        <f>VLOOKUP("Erratic Counts",Data!$A$2839:$AT$2839,33,FALSE)</f>
        <v>0</v>
      </c>
      <c r="K35" s="804">
        <f>VLOOKUP("Fail Time",Data!$A$2842:$AT$2842,33,FALSE)</f>
        <v>255</v>
      </c>
      <c r="L35" s="293">
        <v>32</v>
      </c>
      <c r="M35" s="812" t="s">
        <v>34</v>
      </c>
      <c r="N35" s="803" t="s">
        <v>34</v>
      </c>
      <c r="O35" s="803" t="str">
        <f>IF(VLOOKUP("Queue",Data!$A$2846:$AT$2846,33,FALSE)= "On", "X", "-")</f>
        <v>-</v>
      </c>
      <c r="P35" s="803" t="str">
        <f>IF(VLOOKUP("Added Initial",Data!$A$2835:$AT$2835,33,FALSE)= "On", "X", "-")</f>
        <v>-</v>
      </c>
      <c r="Q35" s="803" t="str">
        <f>IF(VLOOKUP("Red Lock",Data!$A$2848:$AT$2848,33,FALSE)= "On", "X", "-")</f>
        <v>-</v>
      </c>
      <c r="R35" s="803" t="str">
        <f>IF(VLOOKUP("Yellow Lock",Data!$A$2851:$AT$2851,33,FALSE)= "On", "X", "-")</f>
        <v>-</v>
      </c>
      <c r="S35" s="803" t="str">
        <f>IF(VLOOKUP("Occupancy",Data!$A$2845:$AT$2845,33,FALSE)= "On", "X", "-")</f>
        <v>-</v>
      </c>
      <c r="T35" s="804" t="s">
        <v>34</v>
      </c>
      <c r="U35" s="293">
        <v>32</v>
      </c>
      <c r="V35" s="812" t="str">
        <f>IF(VLOOKUP("Green Occupancy",Data!$A$2942:$AT$2942,33,FALSE)="On", "X", "-")</f>
        <v>X</v>
      </c>
      <c r="W35" s="803" t="str">
        <f>IF(VLOOKUP("Yellow Occupancy",Data!$A$2945:$AT$2945,33,FALSE)="On", "X", "-")</f>
        <v>X</v>
      </c>
      <c r="X35" s="803" t="str">
        <f>IF(VLOOKUP("Red Occupancy",Data!$A$2943:$AT$2943,33,FALSE)="On", "X", "-")</f>
        <v>-</v>
      </c>
      <c r="Y35" s="803">
        <f>VLOOKUP("Delay Phase 1",Data!$A$2939:$AT$2939,33,FALSE)</f>
        <v>0</v>
      </c>
      <c r="Z35" s="803">
        <f>VLOOKUP("Delay Phase 2",Data!$A$2940:$AT$2940,33,FALSE)</f>
        <v>0</v>
      </c>
      <c r="AA35" s="947" t="str">
        <f>VLOOKUP("External Mode",Data!$A$2937:$AT$2946,33,FALSE)</f>
        <v>STOPB</v>
      </c>
      <c r="AB35" s="804">
        <f>VLOOKUP("Source",Data!$A$2937:$AT$2946,33,FALSE)</f>
        <v>0</v>
      </c>
      <c r="AC35" s="823" t="str">
        <f>VLOOKUP("Direction",Data!$A$208:$AT$211,33,FALSE)</f>
        <v xml:space="preserve"> </v>
      </c>
      <c r="AD35" s="286">
        <v>32</v>
      </c>
      <c r="AE35" s="79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</row>
    <row r="36" spans="1:59" s="82" customFormat="1" ht="12.6" customHeight="1">
      <c r="A36" s="345">
        <f>A35+1</f>
        <v>33</v>
      </c>
      <c r="B36" s="796" t="s">
        <v>804</v>
      </c>
      <c r="C36" s="805">
        <f>VLOOKUP("Call Phase",Data!$A$2837:$AT$2837,34,FALSE)</f>
        <v>1</v>
      </c>
      <c r="D36" s="806">
        <f>VLOOKUP("Switch Phase",Data!$A$2849:$AT$2849,34,FALSE)</f>
        <v>0</v>
      </c>
      <c r="E36" s="827">
        <f>VLOOKUP("Delay Time",Data!$A$2838:$AT$2838,34,FALSE)</f>
        <v>0</v>
      </c>
      <c r="F36" s="827">
        <f>VLOOKUP("Extend Time",Data!$A$2841:$AT$2841,34,FALSE)</f>
        <v>0</v>
      </c>
      <c r="G36" s="827">
        <f>VLOOKUP("Queue Limit",Data!$A$2847:$AT$2847,34,FALSE)</f>
        <v>0</v>
      </c>
      <c r="H36" s="827">
        <f>VLOOKUP("No Activity",Data!$A$2844:$AT$2844,34,FALSE)</f>
        <v>0</v>
      </c>
      <c r="I36" s="827">
        <f>VLOOKUP("Max Presence",Data!$A$2843:$AT$2843,34,FALSE)</f>
        <v>0</v>
      </c>
      <c r="J36" s="827">
        <f>VLOOKUP("Erratic Counts",Data!$A$2839:$AT$2839,34,FALSE)</f>
        <v>0</v>
      </c>
      <c r="K36" s="807">
        <f>VLOOKUP("Fail Time",Data!$A$2842:$AT$2842,34,FALSE)</f>
        <v>255</v>
      </c>
      <c r="L36" s="293">
        <f>L35+1</f>
        <v>33</v>
      </c>
      <c r="M36" s="813" t="s">
        <v>34</v>
      </c>
      <c r="N36" s="827" t="s">
        <v>34</v>
      </c>
      <c r="O36" s="827" t="str">
        <f>IF(VLOOKUP("Queue",Data!$A$2846:$AT$2846,34,FALSE)= "On", "X", "-")</f>
        <v>-</v>
      </c>
      <c r="P36" s="827" t="str">
        <f>IF(VLOOKUP("Added Initial",Data!$A$2835:$AT$2835,34,FALSE)= "On", "X", "-")</f>
        <v>-</v>
      </c>
      <c r="Q36" s="827" t="str">
        <f>IF(VLOOKUP("Red Lock",Data!$A$2848:$AT$2848,34,FALSE)= "On", "X", "-")</f>
        <v>-</v>
      </c>
      <c r="R36" s="827" t="str">
        <f>IF(VLOOKUP("Yellow Lock",Data!$A$2851:$AT$2851,34,FALSE)= "On", "X", "-")</f>
        <v>-</v>
      </c>
      <c r="S36" s="827" t="str">
        <f>IF(VLOOKUP("Occupancy",Data!$A$2845:$AT$2845,34,FALSE)= "On", "X", "-")</f>
        <v>-</v>
      </c>
      <c r="T36" s="807" t="s">
        <v>34</v>
      </c>
      <c r="U36" s="293">
        <f>U35+1</f>
        <v>33</v>
      </c>
      <c r="V36" s="813" t="str">
        <f>IF(VLOOKUP("Green Occupancy",Data!$A$2942:$AT$2942,34,FALSE)="On", "X", "-")</f>
        <v>X</v>
      </c>
      <c r="W36" s="827" t="str">
        <f>IF(VLOOKUP("Yellow Occupancy",Data!$A$2945:$AT$2945,34,FALSE)="On", "X", "-")</f>
        <v>X</v>
      </c>
      <c r="X36" s="827" t="str">
        <f>IF(VLOOKUP("Red Occupancy",Data!$A$2943:$AT$2943,34,FALSE)="On", "X", "-")</f>
        <v>-</v>
      </c>
      <c r="Y36" s="827">
        <f>VLOOKUP("Delay Phase 1",Data!$A$2939:$AT$2939,34,FALSE)</f>
        <v>0</v>
      </c>
      <c r="Z36" s="827">
        <f>VLOOKUP("Delay Phase 2",Data!$A$2940:$AT$2940,34,FALSE)</f>
        <v>0</v>
      </c>
      <c r="AA36" s="947" t="str">
        <f>VLOOKUP("External Mode",Data!$A$2937:$AT$2946,34,FALSE)</f>
        <v>NORM</v>
      </c>
      <c r="AB36" s="945">
        <f>VLOOKUP("Source",Data!$A$2937:$AT$2946,34,FALSE)</f>
        <v>0</v>
      </c>
      <c r="AC36" s="822" t="s">
        <v>34</v>
      </c>
      <c r="AD36" s="285">
        <f>AD35+1</f>
        <v>33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</row>
    <row r="37" spans="1:59" s="82" customFormat="1" ht="12.6" customHeight="1">
      <c r="A37" s="345">
        <f t="shared" ref="A37:A43" si="0">A36+1</f>
        <v>34</v>
      </c>
      <c r="B37" s="487" t="s">
        <v>805</v>
      </c>
      <c r="C37" s="801">
        <f>VLOOKUP("Call Phase",Data!$A$2837:$AT$2837,35,FALSE)</f>
        <v>2</v>
      </c>
      <c r="D37" s="802">
        <f>VLOOKUP("Switch Phase",Data!$A$2849:$AT$2849,35,FALSE)</f>
        <v>0</v>
      </c>
      <c r="E37" s="803">
        <f>VLOOKUP("Delay Time",Data!$A$2838:$AT$2838,35,FALSE)</f>
        <v>0</v>
      </c>
      <c r="F37" s="803" t="s">
        <v>34</v>
      </c>
      <c r="G37" s="803">
        <f>VLOOKUP("Queue Limit",Data!$A$2847:$AT$2847,35,FALSE)</f>
        <v>0</v>
      </c>
      <c r="H37" s="803">
        <f>VLOOKUP("No Activity",Data!$A$2844:$AT$2844,35,FALSE)</f>
        <v>0</v>
      </c>
      <c r="I37" s="803">
        <f>VLOOKUP("Max Presence",Data!$A$2843:$AT$2843,35,FALSE)</f>
        <v>0</v>
      </c>
      <c r="J37" s="803">
        <f>VLOOKUP("Erratic Counts",Data!$A$2839:$AT$2839,35,FALSE)</f>
        <v>0</v>
      </c>
      <c r="K37" s="804">
        <f>VLOOKUP("Fail Time",Data!$A$2842:$AT$2842,35,FALSE)</f>
        <v>255</v>
      </c>
      <c r="L37" s="293">
        <f t="shared" ref="L37:L47" si="1">L36+1</f>
        <v>34</v>
      </c>
      <c r="M37" s="812" t="s">
        <v>34</v>
      </c>
      <c r="N37" s="803" t="s">
        <v>34</v>
      </c>
      <c r="O37" s="803" t="str">
        <f>IF(VLOOKUP("Queue",Data!$A$2846:$AT$2846,35,FALSE)= "On", "X", "-")</f>
        <v>-</v>
      </c>
      <c r="P37" s="803" t="str">
        <f>IF(VLOOKUP("Added Initial",Data!$A$2835:$AT$2835,35,FALSE)= "On", "X", "-")</f>
        <v>-</v>
      </c>
      <c r="Q37" s="803" t="str">
        <f>IF(VLOOKUP("Red Lock",Data!$A$2848:$AT$2848,35,FALSE)= "On", "X", "-")</f>
        <v>-</v>
      </c>
      <c r="R37" s="803" t="str">
        <f>IF(VLOOKUP("Yellow Lock",Data!$A$2851:$AT$2851,35,FALSE)= "On", "X", "-")</f>
        <v>-</v>
      </c>
      <c r="S37" s="803" t="str">
        <f>IF(VLOOKUP("Occupancy",Data!$A$2845:$AT$2845,35,FALSE)= "On", "X", "-")</f>
        <v>-</v>
      </c>
      <c r="T37" s="804" t="s">
        <v>34</v>
      </c>
      <c r="U37" s="293">
        <f t="shared" ref="U37:U47" si="2">U36+1</f>
        <v>34</v>
      </c>
      <c r="V37" s="812" t="str">
        <f>IF(VLOOKUP("Green Occupancy",Data!$A$2942:$AT$2942,35,FALSE)="On", "X", "-")</f>
        <v>X</v>
      </c>
      <c r="W37" s="803" t="str">
        <f>IF(VLOOKUP("Yellow Occupancy",Data!$A$2945:$AT$2945,35,FALSE)="On", "X", "-")</f>
        <v>X</v>
      </c>
      <c r="X37" s="803" t="str">
        <f>IF(VLOOKUP("Red Occupancy",Data!$A$2943:$AT$2943,35,FALSE)="On", "X", "-")</f>
        <v>-</v>
      </c>
      <c r="Y37" s="803">
        <f>VLOOKUP("Delay Phase 1",Data!$A$2939:$AT$2939,35,FALSE)</f>
        <v>0</v>
      </c>
      <c r="Z37" s="803">
        <f>VLOOKUP("Delay Phase 2",Data!$A$2940:$AT$2940,35,FALSE)</f>
        <v>0</v>
      </c>
      <c r="AA37" s="947" t="str">
        <f>VLOOKUP("External Mode",Data!$A$2937:$AT$2946,35,FALSE)</f>
        <v>STOPB</v>
      </c>
      <c r="AB37" s="804">
        <f>VLOOKUP("Source",Data!$A$2937:$AT$2946,35,FALSE)</f>
        <v>0</v>
      </c>
      <c r="AC37" s="823" t="s">
        <v>34</v>
      </c>
      <c r="AD37" s="286">
        <f t="shared" ref="AD37:AD47" si="3">AD36+1</f>
        <v>34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</row>
    <row r="38" spans="1:59" s="82" customFormat="1" ht="12.6" customHeight="1">
      <c r="A38" s="345">
        <f t="shared" si="0"/>
        <v>35</v>
      </c>
      <c r="B38" s="796" t="s">
        <v>806</v>
      </c>
      <c r="C38" s="805">
        <f>VLOOKUP("Call Phase",Data!$A$2837:$AT$2837,36,FALSE)</f>
        <v>3</v>
      </c>
      <c r="D38" s="806">
        <f>VLOOKUP("Switch Phase",Data!$A$2849:$AT$2849,36,FALSE)</f>
        <v>0</v>
      </c>
      <c r="E38" s="827">
        <f>VLOOKUP("Delay Time",Data!$A$2838:$AT$2838,36,FALSE)</f>
        <v>0</v>
      </c>
      <c r="F38" s="827">
        <f>VLOOKUP("Extend Time",Data!$A$2841:$AT$2841,36,FALSE)</f>
        <v>0</v>
      </c>
      <c r="G38" s="827">
        <f>VLOOKUP("Queue Limit",Data!$A$2847:$AT$2847,36,FALSE)</f>
        <v>0</v>
      </c>
      <c r="H38" s="827">
        <f>VLOOKUP("No Activity",Data!$A$2844:$AT$2844,36,FALSE)</f>
        <v>0</v>
      </c>
      <c r="I38" s="827">
        <f>VLOOKUP("Max Presence",Data!$A$2843:$AT$2843,36,FALSE)</f>
        <v>0</v>
      </c>
      <c r="J38" s="827">
        <f>VLOOKUP("Erratic Counts",Data!$A$2839:$AT$2839,36,FALSE)</f>
        <v>0</v>
      </c>
      <c r="K38" s="807">
        <f>VLOOKUP("Fail Time",Data!$A$2842:$AT$2842,36,FALSE)</f>
        <v>255</v>
      </c>
      <c r="L38" s="293">
        <f t="shared" si="1"/>
        <v>35</v>
      </c>
      <c r="M38" s="813" t="s">
        <v>34</v>
      </c>
      <c r="N38" s="827" t="s">
        <v>34</v>
      </c>
      <c r="O38" s="827" t="str">
        <f>IF(VLOOKUP("Queue",Data!$A$2846:$AT$2846,36,FALSE)= "On", "X", "-")</f>
        <v>-</v>
      </c>
      <c r="P38" s="827" t="str">
        <f>IF(VLOOKUP("Added Initial",Data!$A$2835:$AT$2835,36,FALSE)= "On", "X", "-")</f>
        <v>-</v>
      </c>
      <c r="Q38" s="827" t="str">
        <f>IF(VLOOKUP("Red Lock",Data!$A$2848:$AT$2848,36,FALSE)= "On", "X", "-")</f>
        <v>-</v>
      </c>
      <c r="R38" s="827" t="str">
        <f>IF(VLOOKUP("Yellow Lock",Data!$A$2851:$AT$2851,36,FALSE)= "On", "X", "-")</f>
        <v>-</v>
      </c>
      <c r="S38" s="827" t="str">
        <f>IF(VLOOKUP("Occupancy",Data!$A$2845:$AT$2845,36,FALSE)= "On", "X", "-")</f>
        <v>-</v>
      </c>
      <c r="T38" s="807" t="s">
        <v>34</v>
      </c>
      <c r="U38" s="293">
        <f t="shared" si="2"/>
        <v>35</v>
      </c>
      <c r="V38" s="813" t="str">
        <f>IF(VLOOKUP("Green Occupancy",Data!$A$2942:$AT$2942,36,FALSE)="On", "X", "-")</f>
        <v>X</v>
      </c>
      <c r="W38" s="827" t="str">
        <f>IF(VLOOKUP("Yellow Occupancy",Data!$A$2945:$AT$2945,36,FALSE)="On", "X", "-")</f>
        <v>X</v>
      </c>
      <c r="X38" s="827" t="str">
        <f>IF(VLOOKUP("Red Occupancy",Data!$A$2943:$AT$2943,36,FALSE)="On", "X", "-")</f>
        <v>-</v>
      </c>
      <c r="Y38" s="827">
        <f>VLOOKUP("Delay Phase 1",Data!$A$2939:$AT$2939,36,FALSE)</f>
        <v>0</v>
      </c>
      <c r="Z38" s="827">
        <f>VLOOKUP("Delay Phase 2",Data!$A$2940:$AT$2940,36,FALSE)</f>
        <v>0</v>
      </c>
      <c r="AA38" s="947" t="str">
        <f>VLOOKUP("External Mode",Data!$A$2937:$AT$2946,36,FALSE)</f>
        <v>NORM</v>
      </c>
      <c r="AB38" s="945">
        <f>VLOOKUP("Source",Data!$A$2937:$AT$2946,36,FALSE)</f>
        <v>0</v>
      </c>
      <c r="AC38" s="822" t="s">
        <v>34</v>
      </c>
      <c r="AD38" s="286">
        <f t="shared" si="3"/>
        <v>35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</row>
    <row r="39" spans="1:59" s="82" customFormat="1" ht="12.6" customHeight="1">
      <c r="A39" s="345">
        <f t="shared" si="0"/>
        <v>36</v>
      </c>
      <c r="B39" s="487" t="s">
        <v>807</v>
      </c>
      <c r="C39" s="801">
        <f>VLOOKUP("Call Phase",Data!$A$2837:$AT$2837,37,FALSE)</f>
        <v>4</v>
      </c>
      <c r="D39" s="802">
        <f>VLOOKUP("Switch Phase",Data!$A$2849:$AT$2849,37,FALSE)</f>
        <v>0</v>
      </c>
      <c r="E39" s="803">
        <f>VLOOKUP("Delay Time",Data!$A$2838:$AT$2838,37,FALSE)</f>
        <v>0</v>
      </c>
      <c r="F39" s="803" t="s">
        <v>34</v>
      </c>
      <c r="G39" s="803">
        <f>VLOOKUP("Queue Limit",Data!$A$2847:$AT$2847,37,FALSE)</f>
        <v>0</v>
      </c>
      <c r="H39" s="803">
        <f>VLOOKUP("No Activity",Data!$A$2844:$AT$2844,37,FALSE)</f>
        <v>0</v>
      </c>
      <c r="I39" s="803">
        <f>VLOOKUP("Max Presence",Data!$A$2843:$AT$2843,37,FALSE)</f>
        <v>0</v>
      </c>
      <c r="J39" s="803">
        <f>VLOOKUP("Erratic Counts",Data!$A$2839:$AT$2839,37,FALSE)</f>
        <v>0</v>
      </c>
      <c r="K39" s="804">
        <f>VLOOKUP("Fail Time",Data!$A$2842:$AT$2842,37,FALSE)</f>
        <v>255</v>
      </c>
      <c r="L39" s="293">
        <f t="shared" si="1"/>
        <v>36</v>
      </c>
      <c r="M39" s="812" t="s">
        <v>34</v>
      </c>
      <c r="N39" s="803" t="s">
        <v>34</v>
      </c>
      <c r="O39" s="803" t="str">
        <f>IF(VLOOKUP("Queue",Data!$A$2846:$AT$2846,37,FALSE)= "On", "X", "-")</f>
        <v>-</v>
      </c>
      <c r="P39" s="803" t="str">
        <f>IF(VLOOKUP("Added Initial",Data!$A$2835:$AT$2835,37,FALSE)= "On", "X", "-")</f>
        <v>-</v>
      </c>
      <c r="Q39" s="803" t="str">
        <f>IF(VLOOKUP("Red Lock",Data!$A$2848:$AT$2848,37,FALSE)= "On", "X", "-")</f>
        <v>-</v>
      </c>
      <c r="R39" s="803" t="str">
        <f>IF(VLOOKUP("Yellow Lock",Data!$A$2851:$AT$2851,37,FALSE)= "On", "X", "-")</f>
        <v>-</v>
      </c>
      <c r="S39" s="803" t="str">
        <f>IF(VLOOKUP("Occupancy",Data!$A$2845:$AT$2845,37,FALSE)= "On", "X", "-")</f>
        <v>-</v>
      </c>
      <c r="T39" s="804" t="s">
        <v>34</v>
      </c>
      <c r="U39" s="293">
        <f t="shared" si="2"/>
        <v>36</v>
      </c>
      <c r="V39" s="812" t="str">
        <f>IF(VLOOKUP("Green Occupancy",Data!$A$2942:$AT$2942,37,FALSE)="On", "X", "-")</f>
        <v>X</v>
      </c>
      <c r="W39" s="803" t="str">
        <f>IF(VLOOKUP("Yellow Occupancy",Data!$A$2945:$AT$2945,37,FALSE)="On", "X", "-")</f>
        <v>X</v>
      </c>
      <c r="X39" s="803" t="str">
        <f>IF(VLOOKUP("Red Occupancy",Data!$A$2943:$AT$2943,37,FALSE)="On", "X", "-")</f>
        <v>-</v>
      </c>
      <c r="Y39" s="803">
        <f>VLOOKUP("Delay Phase 1",Data!$A$2939:$AT$2939,37,FALSE)</f>
        <v>0</v>
      </c>
      <c r="Z39" s="803">
        <f>VLOOKUP("Delay Phase 2",Data!$A$2940:$AT$2940,37,FALSE)</f>
        <v>0</v>
      </c>
      <c r="AA39" s="947" t="str">
        <f>VLOOKUP("External Mode",Data!$A$2937:$AT$2946,37,FALSE)</f>
        <v>STOPB</v>
      </c>
      <c r="AB39" s="804">
        <f>VLOOKUP("Source",Data!$A$2937:$AT$2946,37,FALSE)</f>
        <v>0</v>
      </c>
      <c r="AC39" s="823" t="s">
        <v>34</v>
      </c>
      <c r="AD39" s="286">
        <f t="shared" si="3"/>
        <v>36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</row>
    <row r="40" spans="1:59" s="82" customFormat="1" ht="12.6" customHeight="1">
      <c r="A40" s="345">
        <f t="shared" si="0"/>
        <v>37</v>
      </c>
      <c r="B40" s="796" t="s">
        <v>808</v>
      </c>
      <c r="C40" s="805">
        <f>VLOOKUP("Call Phase",Data!$A$2837:$AT$2837,38,FALSE)</f>
        <v>5</v>
      </c>
      <c r="D40" s="806">
        <f>VLOOKUP("Switch Phase",Data!$A$2849:$AT$2849,38,FALSE)</f>
        <v>0</v>
      </c>
      <c r="E40" s="827">
        <f>VLOOKUP("Delay Time",Data!$A$2838:$AT$2838,38,FALSE)</f>
        <v>0</v>
      </c>
      <c r="F40" s="827" t="s">
        <v>34</v>
      </c>
      <c r="G40" s="827">
        <f>VLOOKUP("Queue Limit",Data!$A$2847:$AT$2847,38,FALSE)</f>
        <v>0</v>
      </c>
      <c r="H40" s="827">
        <f>VLOOKUP("No Activity",Data!$A$2844:$AT$2844,38,FALSE)</f>
        <v>0</v>
      </c>
      <c r="I40" s="827">
        <f>VLOOKUP("Max Presence",Data!$A$2843:$AT$2843,38,FALSE)</f>
        <v>0</v>
      </c>
      <c r="J40" s="827">
        <f>VLOOKUP("Erratic Counts",Data!$A$2839:$AT$2839,38,FALSE)</f>
        <v>0</v>
      </c>
      <c r="K40" s="807">
        <f>VLOOKUP("Fail Time",Data!$A$2842:$AT$2842,38,FALSE)</f>
        <v>255</v>
      </c>
      <c r="L40" s="293">
        <f t="shared" si="1"/>
        <v>37</v>
      </c>
      <c r="M40" s="813" t="s">
        <v>34</v>
      </c>
      <c r="N40" s="827" t="s">
        <v>34</v>
      </c>
      <c r="O40" s="827" t="str">
        <f>IF(VLOOKUP("Queue",Data!$A$2846:$AT$2846,38,FALSE)= "On", "X", "-")</f>
        <v>-</v>
      </c>
      <c r="P40" s="827" t="str">
        <f>IF(VLOOKUP("Added Initial",Data!$A$2835:$AT$2835,38,FALSE)= "On", "X", "-")</f>
        <v>-</v>
      </c>
      <c r="Q40" s="827" t="str">
        <f>IF(VLOOKUP("Red Lock",Data!$A$2848:$AT$2848,38,FALSE)= "On", "X", "-")</f>
        <v>-</v>
      </c>
      <c r="R40" s="827" t="str">
        <f>IF(VLOOKUP("Yellow Lock",Data!$A$2851:$AT$2851,38,FALSE)= "On", "X", "-")</f>
        <v>-</v>
      </c>
      <c r="S40" s="827" t="str">
        <f>IF(VLOOKUP("Occupancy",Data!$A$2845:$AT$2845,38,FALSE)= "On", "X", "-")</f>
        <v>-</v>
      </c>
      <c r="T40" s="807" t="s">
        <v>34</v>
      </c>
      <c r="U40" s="293">
        <f t="shared" si="2"/>
        <v>37</v>
      </c>
      <c r="V40" s="813" t="str">
        <f>IF(VLOOKUP("Green Occupancy",Data!$A$2942:$AT$2942,38,FALSE)="On", "X", "-")</f>
        <v>X</v>
      </c>
      <c r="W40" s="827" t="str">
        <f>IF(VLOOKUP("Yellow Occupancy",Data!$A$2945:$AT$2945,38,FALSE)="On", "X", "-")</f>
        <v>X</v>
      </c>
      <c r="X40" s="827" t="str">
        <f>IF(VLOOKUP("Red Occupancy",Data!$A$2943:$AT$2943,38,FALSE)="On", "X", "-")</f>
        <v>-</v>
      </c>
      <c r="Y40" s="827">
        <f>VLOOKUP("Delay Phase 1",Data!$A$2939:$AT$2939,38,FALSE)</f>
        <v>0</v>
      </c>
      <c r="Z40" s="827">
        <f>VLOOKUP("Delay Phase 2",Data!$A$2940:$AT$2940,38,FALSE)</f>
        <v>0</v>
      </c>
      <c r="AA40" s="947" t="str">
        <f>VLOOKUP("External Mode",Data!$A$2937:$AT$2946,38,FALSE)</f>
        <v>NORM</v>
      </c>
      <c r="AB40" s="945">
        <f>VLOOKUP("Source",Data!$A$2937:$AT$2946,38,FALSE)</f>
        <v>0</v>
      </c>
      <c r="AC40" s="822" t="s">
        <v>34</v>
      </c>
      <c r="AD40" s="286">
        <f t="shared" si="3"/>
        <v>37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</row>
    <row r="41" spans="1:59" s="82" customFormat="1" ht="12.6" customHeight="1">
      <c r="A41" s="345">
        <f t="shared" si="0"/>
        <v>38</v>
      </c>
      <c r="B41" s="487" t="s">
        <v>809</v>
      </c>
      <c r="C41" s="801">
        <f>VLOOKUP("Call Phase",Data!$A$2837:$AT$2837,39,FALSE)</f>
        <v>6</v>
      </c>
      <c r="D41" s="802">
        <f>VLOOKUP("Switch Phase",Data!$A$2849:$AT$2849,39,FALSE)</f>
        <v>0</v>
      </c>
      <c r="E41" s="803">
        <f>VLOOKUP("Delay Time",Data!$A$2838:$AT$2838,39,FALSE)</f>
        <v>0</v>
      </c>
      <c r="F41" s="803" t="s">
        <v>34</v>
      </c>
      <c r="G41" s="803">
        <f>VLOOKUP("Queue Limit",Data!$A$2847:$AT$2847,39,FALSE)</f>
        <v>0</v>
      </c>
      <c r="H41" s="803">
        <f>VLOOKUP("No Activity",Data!$A$2844:$AT$2844,39,FALSE)</f>
        <v>0</v>
      </c>
      <c r="I41" s="803">
        <f>VLOOKUP("Max Presence",Data!$A$2843:$AT$2843,39,FALSE)</f>
        <v>0</v>
      </c>
      <c r="J41" s="803">
        <f>VLOOKUP("Erratic Counts",Data!$A$2839:$AT$2839,39,FALSE)</f>
        <v>0</v>
      </c>
      <c r="K41" s="804">
        <f>VLOOKUP("Fail Time",Data!$A$2842:$AT$2842,39,FALSE)</f>
        <v>255</v>
      </c>
      <c r="L41" s="293">
        <f t="shared" si="1"/>
        <v>38</v>
      </c>
      <c r="M41" s="812" t="s">
        <v>34</v>
      </c>
      <c r="N41" s="803" t="str">
        <f>IF(VLOOKUP("Extend",Data!$A$2840:$AT$2840,39,FALSE)= "On", "X", "-")</f>
        <v>-</v>
      </c>
      <c r="O41" s="803" t="str">
        <f>IF(VLOOKUP("Queue",Data!$A$2846:$AT$2846,39,FALSE)= "On", "X", "-")</f>
        <v>-</v>
      </c>
      <c r="P41" s="803" t="str">
        <f>IF(VLOOKUP("Added Initial",Data!$A$2835:$AT$2835,39,FALSE)= "On", "X", "-")</f>
        <v>-</v>
      </c>
      <c r="Q41" s="803" t="str">
        <f>IF(VLOOKUP("Red Lock",Data!$A$2848:$AT$2848,39,FALSE)= "On", "X", "-")</f>
        <v>-</v>
      </c>
      <c r="R41" s="803" t="str">
        <f>IF(VLOOKUP("Yellow Lock",Data!$A$2851:$AT$2851,39,FALSE)= "On", "X", "-")</f>
        <v>-</v>
      </c>
      <c r="S41" s="803" t="str">
        <f>IF(VLOOKUP("Occupancy",Data!$A$2845:$AT$2845,39,FALSE)= "On", "X", "-")</f>
        <v>-</v>
      </c>
      <c r="T41" s="804" t="s">
        <v>34</v>
      </c>
      <c r="U41" s="293">
        <f t="shared" si="2"/>
        <v>38</v>
      </c>
      <c r="V41" s="812" t="str">
        <f>IF(VLOOKUP("Green Occupancy",Data!$A$2942:$AT$2942,39,FALSE)="On", "X", "-")</f>
        <v>X</v>
      </c>
      <c r="W41" s="803" t="str">
        <f>IF(VLOOKUP("Yellow Occupancy",Data!$A$2945:$AT$2945,39,FALSE)="On", "X", "-")</f>
        <v>X</v>
      </c>
      <c r="X41" s="803" t="str">
        <f>IF(VLOOKUP("Red Occupancy",Data!$A$2943:$AT$2943,39,FALSE)="On", "X", "-")</f>
        <v>-</v>
      </c>
      <c r="Y41" s="803">
        <f>VLOOKUP("Delay Phase 1",Data!$A$2939:$AT$2939,39,FALSE)</f>
        <v>0</v>
      </c>
      <c r="Z41" s="803">
        <f>VLOOKUP("Delay Phase 2",Data!$A$2940:$AT$2940,39,FALSE)</f>
        <v>0</v>
      </c>
      <c r="AA41" s="947" t="str">
        <f>VLOOKUP("External Mode",Data!$A$2937:$AT$2946,39,FALSE)</f>
        <v>STOPB</v>
      </c>
      <c r="AB41" s="804">
        <f>VLOOKUP("Source",Data!$A$2937:$AT$2946,39,FALSE)</f>
        <v>0</v>
      </c>
      <c r="AC41" s="823" t="s">
        <v>34</v>
      </c>
      <c r="AD41" s="286">
        <f t="shared" si="3"/>
        <v>38</v>
      </c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1:59" s="82" customFormat="1" ht="12.6" customHeight="1">
      <c r="A42" s="345">
        <f t="shared" si="0"/>
        <v>39</v>
      </c>
      <c r="B42" s="796" t="s">
        <v>810</v>
      </c>
      <c r="C42" s="805">
        <f>VLOOKUP("Call Phase",Data!$A$2837:$AT$2837,40,FALSE)</f>
        <v>7</v>
      </c>
      <c r="D42" s="806">
        <f>VLOOKUP("Switch Phase",Data!$A$2849:$AT$2849,40,FALSE)</f>
        <v>0</v>
      </c>
      <c r="E42" s="827">
        <f>VLOOKUP("Delay Time",Data!$A$2838:$AT$2838,40,FALSE)</f>
        <v>0</v>
      </c>
      <c r="F42" s="827" t="s">
        <v>34</v>
      </c>
      <c r="G42" s="827">
        <f>VLOOKUP("Queue Limit",Data!$A$2847:$AT$2847,40,FALSE)</f>
        <v>0</v>
      </c>
      <c r="H42" s="827">
        <f>VLOOKUP("No Activity",Data!$A$2844:$AT$2844,40,FALSE)</f>
        <v>0</v>
      </c>
      <c r="I42" s="827">
        <f>VLOOKUP("Max Presence",Data!$A$2843:$AT$2843,40,FALSE)</f>
        <v>0</v>
      </c>
      <c r="J42" s="827">
        <f>VLOOKUP("Erratic Counts",Data!$A$2839:$AT$2839,40,FALSE)</f>
        <v>0</v>
      </c>
      <c r="K42" s="807">
        <f>VLOOKUP("Fail Time",Data!$A$2842:$AT$2842,40,FALSE)</f>
        <v>255</v>
      </c>
      <c r="L42" s="293">
        <f t="shared" si="1"/>
        <v>39</v>
      </c>
      <c r="M42" s="813" t="s">
        <v>34</v>
      </c>
      <c r="N42" s="827" t="s">
        <v>34</v>
      </c>
      <c r="O42" s="827" t="str">
        <f>IF(VLOOKUP("Queue",Data!$A$2846:$AT$2846,40,FALSE)= "On", "X", "-")</f>
        <v>-</v>
      </c>
      <c r="P42" s="827" t="str">
        <f>IF(VLOOKUP("Added Initial",Data!$A$2835:$AT$2835,40,FALSE)= "On", "X", "-")</f>
        <v>-</v>
      </c>
      <c r="Q42" s="827" t="str">
        <f>IF(VLOOKUP("Red Lock",Data!$A$2848:$AT$2848,40,FALSE)= "On", "X", "-")</f>
        <v>-</v>
      </c>
      <c r="R42" s="827" t="str">
        <f>IF(VLOOKUP("Yellow Lock",Data!$A$2851:$AT$2851,40,FALSE)= "On", "X", "-")</f>
        <v>-</v>
      </c>
      <c r="S42" s="827" t="str">
        <f>IF(VLOOKUP("Occupancy",Data!$A$2845:$AT$2845,40,FALSE)= "On", "X", "-")</f>
        <v>-</v>
      </c>
      <c r="T42" s="807" t="s">
        <v>34</v>
      </c>
      <c r="U42" s="293">
        <f t="shared" si="2"/>
        <v>39</v>
      </c>
      <c r="V42" s="813" t="str">
        <f>IF(VLOOKUP("Green Occupancy",Data!$A$2942:$AT$2942,40,FALSE)="On", "X", "-")</f>
        <v>X</v>
      </c>
      <c r="W42" s="827" t="str">
        <f>IF(VLOOKUP("Yellow Occupancy",Data!$A$2945:$AT$2945,40,FALSE)="On", "X", "-")</f>
        <v>X</v>
      </c>
      <c r="X42" s="827" t="str">
        <f>IF(VLOOKUP("Red Occupancy",Data!$A$2943:$AT$2943,40,FALSE)="On", "X", "-")</f>
        <v>-</v>
      </c>
      <c r="Y42" s="827">
        <f>VLOOKUP("Delay Phase 1",Data!$A$2939:$AT$2939,40,FALSE)</f>
        <v>0</v>
      </c>
      <c r="Z42" s="827">
        <f>VLOOKUP("Delay Phase 2",Data!$A$2940:$AT$2940,40,FALSE)</f>
        <v>0</v>
      </c>
      <c r="AA42" s="947" t="str">
        <f>VLOOKUP("External Mode",Data!$A$2937:$AT$2946,40,FALSE)</f>
        <v>NORM</v>
      </c>
      <c r="AB42" s="945">
        <f>VLOOKUP("Source",Data!$A$2937:$AT$2946,40,FALSE)</f>
        <v>0</v>
      </c>
      <c r="AC42" s="822" t="s">
        <v>34</v>
      </c>
      <c r="AD42" s="286">
        <f t="shared" si="3"/>
        <v>39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1:59" s="82" customFormat="1" ht="12.6" customHeight="1">
      <c r="A43" s="346">
        <f t="shared" si="0"/>
        <v>40</v>
      </c>
      <c r="B43" s="488" t="s">
        <v>811</v>
      </c>
      <c r="C43" s="801">
        <f>VLOOKUP("Call Phase",Data!$A$2837:$AT$2837,41,FALSE)</f>
        <v>8</v>
      </c>
      <c r="D43" s="802">
        <f>VLOOKUP("Switch Phase",Data!$A$2849:$AT$2849,41,FALSE)</f>
        <v>0</v>
      </c>
      <c r="E43" s="803">
        <f>VLOOKUP("Delay Time",Data!$A$2838:$AT$2838,41,FALSE)</f>
        <v>0</v>
      </c>
      <c r="F43" s="803" t="s">
        <v>34</v>
      </c>
      <c r="G43" s="803">
        <f>VLOOKUP("Queue Limit",Data!$A$2847:$AT$2847,41,FALSE)</f>
        <v>0</v>
      </c>
      <c r="H43" s="803">
        <f>VLOOKUP("No Activity",Data!$A$2844:$AT$2844,41,FALSE)</f>
        <v>0</v>
      </c>
      <c r="I43" s="803">
        <f>VLOOKUP("Max Presence",Data!$A$2843:$AT$2843,41,FALSE)</f>
        <v>0</v>
      </c>
      <c r="J43" s="803">
        <f>VLOOKUP("Erratic Counts",Data!$A$2839:$AT$2839,41,FALSE)</f>
        <v>0</v>
      </c>
      <c r="K43" s="804">
        <f>VLOOKUP("Fail Time",Data!$A$2842:$AT$2842,41,FALSE)</f>
        <v>255</v>
      </c>
      <c r="L43" s="294">
        <f t="shared" si="1"/>
        <v>40</v>
      </c>
      <c r="M43" s="812" t="s">
        <v>34</v>
      </c>
      <c r="N43" s="803" t="s">
        <v>34</v>
      </c>
      <c r="O43" s="803" t="str">
        <f>IF(VLOOKUP("Queue",Data!$A$2846:$AT$2846,41,FALSE)= "On", "X", "-")</f>
        <v>-</v>
      </c>
      <c r="P43" s="803" t="str">
        <f>IF(VLOOKUP("Added Initial",Data!$A$2835:$AT$2835,41,FALSE)= "On", "X", "-")</f>
        <v>-</v>
      </c>
      <c r="Q43" s="803" t="str">
        <f>IF(VLOOKUP("Red Lock",Data!$A$2848:$AT$2848,41,FALSE)= "On", "X", "-")</f>
        <v>-</v>
      </c>
      <c r="R43" s="803" t="str">
        <f>IF(VLOOKUP("Yellow Lock",Data!$A$2851:$AT$2851,41,FALSE)= "On", "X", "-")</f>
        <v>-</v>
      </c>
      <c r="S43" s="803" t="str">
        <f>IF(VLOOKUP("Occupancy",Data!$A$2845:$AT$2845,41,FALSE)= "On", "X", "-")</f>
        <v>-</v>
      </c>
      <c r="T43" s="804" t="s">
        <v>34</v>
      </c>
      <c r="U43" s="294">
        <f t="shared" si="2"/>
        <v>40</v>
      </c>
      <c r="V43" s="812" t="str">
        <f>IF(VLOOKUP("Green Occupancy",Data!$A$2942:$AT$2942,41,FALSE)="On", "X", "-")</f>
        <v>X</v>
      </c>
      <c r="W43" s="803" t="str">
        <f>IF(VLOOKUP("Yellow Occupancy",Data!$A$2945:$AT$2945,41,FALSE)="On", "X", "-")</f>
        <v>X</v>
      </c>
      <c r="X43" s="803" t="str">
        <f>IF(VLOOKUP("Red Occupancy",Data!$A$2943:$AT$2943,41,FALSE)="On", "X", "-")</f>
        <v>-</v>
      </c>
      <c r="Y43" s="803">
        <f>VLOOKUP("Delay Phase 1",Data!$A$2939:$AT$2939,41,FALSE)</f>
        <v>0</v>
      </c>
      <c r="Z43" s="803">
        <f>VLOOKUP("Delay Phase 2",Data!$A$2940:$AT$2940,41,FALSE)</f>
        <v>0</v>
      </c>
      <c r="AA43" s="948" t="str">
        <f>VLOOKUP("External Mode",Data!$A$2937:$AT$2946,41,FALSE)</f>
        <v>STOPB</v>
      </c>
      <c r="AB43" s="950">
        <f>VLOOKUP("Source",Data!$A$2937:$AT$2946,41,FALSE)</f>
        <v>0</v>
      </c>
      <c r="AC43" s="824" t="s">
        <v>34</v>
      </c>
      <c r="AD43" s="287">
        <f t="shared" si="3"/>
        <v>40</v>
      </c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1:59" s="82" customFormat="1" ht="12.6" customHeight="1">
      <c r="A44" s="347">
        <v>41</v>
      </c>
      <c r="B44" s="489" t="s">
        <v>812</v>
      </c>
      <c r="C44" s="801">
        <f>VLOOKUP("Call Phase",Data!$A$2837:$AT$2837,42,FALSE)</f>
        <v>4</v>
      </c>
      <c r="D44" s="802">
        <f>VLOOKUP("Switch Phase",Data!$A$2849:$AT$2849,42,FALSE)</f>
        <v>0</v>
      </c>
      <c r="E44" s="803">
        <f>VLOOKUP("Delay Time",Data!$A$2838:$AT$2838,42,FALSE)</f>
        <v>0</v>
      </c>
      <c r="F44" s="803">
        <f>VLOOKUP("Extend Time",Data!$A$2841:$AT$2841,42,FALSE)</f>
        <v>0</v>
      </c>
      <c r="G44" s="803">
        <f>VLOOKUP("Queue Limit",Data!$A$2847:$AT$2847,42,FALSE)</f>
        <v>0</v>
      </c>
      <c r="H44" s="803">
        <f>VLOOKUP("No Activity",Data!$A$2844:$AT$2844,42,FALSE)</f>
        <v>0</v>
      </c>
      <c r="I44" s="803">
        <f>VLOOKUP("Max Presence",Data!$A$2843:$AT$2843,42,FALSE)</f>
        <v>0</v>
      </c>
      <c r="J44" s="803">
        <f>VLOOKUP("Erratic Counts",Data!$A$2839:$AT$2839,42,FALSE)</f>
        <v>0</v>
      </c>
      <c r="K44" s="804">
        <f>VLOOKUP("Fail Time",Data!$A$2842:$AT$2842,42,FALSE)</f>
        <v>255</v>
      </c>
      <c r="L44" s="294">
        <f t="shared" si="1"/>
        <v>41</v>
      </c>
      <c r="M44" s="812" t="str">
        <f>IF(VLOOKUP("Call",Data!$A$2836:$AT$2836,42,FALSE)= "On", "X", "-")</f>
        <v>-</v>
      </c>
      <c r="N44" s="803" t="s">
        <v>34</v>
      </c>
      <c r="O44" s="803" t="str">
        <f>IF(VLOOKUP("Queue",Data!$A$2846:$AT$2846,42,FALSE)= "On", "X", "-")</f>
        <v>-</v>
      </c>
      <c r="P44" s="803" t="str">
        <f>IF(VLOOKUP("Added Initial",Data!$A$2835:$AT$2835,42,FALSE)= "On", "X", "-")</f>
        <v>-</v>
      </c>
      <c r="Q44" s="803" t="str">
        <f>IF(VLOOKUP("Red Lock",Data!$A$2848:$AT$2848,42,FALSE)= "On", "X", "-")</f>
        <v>-</v>
      </c>
      <c r="R44" s="803" t="str">
        <f>IF(VLOOKUP("Yellow Lock",Data!$A$2851:$AT$2851,42,FALSE)= "On", "X", "-")</f>
        <v>-</v>
      </c>
      <c r="S44" s="803" t="s">
        <v>34</v>
      </c>
      <c r="T44" s="804" t="str">
        <f>IF(VLOOKUP("Volume",Data!$A$2850:$AT$2850,42,FALSE)= "On", "X", "-")</f>
        <v>-</v>
      </c>
      <c r="U44" s="294">
        <f t="shared" si="2"/>
        <v>41</v>
      </c>
      <c r="V44" s="812" t="str">
        <f>IF(VLOOKUP("Green Occupancy",Data!$A$2942:$AT$2942,42,FALSE)="On", "X", "-")</f>
        <v>X</v>
      </c>
      <c r="W44" s="803" t="str">
        <f>IF(VLOOKUP("Yellow Occupancy",Data!$A$2945:$AT$2945,42,FALSE)="On", "X", "-")</f>
        <v>X</v>
      </c>
      <c r="X44" s="803" t="str">
        <f>IF(VLOOKUP("Red Occupancy",Data!$A$2943:$AT$2943,42,FALSE)="On", "X", "-")</f>
        <v>-</v>
      </c>
      <c r="Y44" s="803">
        <f>VLOOKUP("Delay Phase 1",Data!$A$2939:$AT$2939,42,FALSE)</f>
        <v>0</v>
      </c>
      <c r="Z44" s="803">
        <f>VLOOKUP("Delay Phase 2",Data!$A$2940:$AT$2940,42,FALSE)</f>
        <v>0</v>
      </c>
      <c r="AA44" s="948" t="str">
        <f>VLOOKUP("External Mode",Data!$A$2937:$AT$2946,42,FALSE)</f>
        <v>NORM</v>
      </c>
      <c r="AB44" s="950">
        <f>VLOOKUP("Source",Data!$A$2937:$AT$2946,42,FALSE)</f>
        <v>0</v>
      </c>
      <c r="AC44" s="825" t="str">
        <f>VLOOKUP("Direction",Data!$A$208:$AT$211,42,FALSE)</f>
        <v xml:space="preserve"> </v>
      </c>
      <c r="AD44" s="287">
        <f t="shared" si="3"/>
        <v>41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</row>
    <row r="45" spans="1:59" s="82" customFormat="1" ht="12.6" customHeight="1">
      <c r="A45" s="348">
        <v>42</v>
      </c>
      <c r="B45" s="490" t="s">
        <v>813</v>
      </c>
      <c r="C45" s="801">
        <f>VLOOKUP("Call Phase",Data!$A$2837:$AT$2837,43,FALSE)</f>
        <v>4</v>
      </c>
      <c r="D45" s="802">
        <f>VLOOKUP("Switch Phase",Data!$A$2849:$AT$2849,43,FALSE)</f>
        <v>0</v>
      </c>
      <c r="E45" s="803">
        <f>VLOOKUP("Delay Time",Data!$A$2838:$AT$2838,43,FALSE)</f>
        <v>0</v>
      </c>
      <c r="F45" s="803">
        <f>VLOOKUP("Extend Time",Data!$A$2841:$AT$2841,43,FALSE)</f>
        <v>0</v>
      </c>
      <c r="G45" s="803">
        <f>VLOOKUP("Queue Limit",Data!$A$2847:$AT$2847,43,FALSE)</f>
        <v>0</v>
      </c>
      <c r="H45" s="803">
        <f>VLOOKUP("No Activity",Data!$A$2844:$AT$2844,43,FALSE)</f>
        <v>0</v>
      </c>
      <c r="I45" s="803">
        <f>VLOOKUP("Max Presence",Data!$A$2843:$AT$2843,43,FALSE)</f>
        <v>0</v>
      </c>
      <c r="J45" s="803">
        <f>VLOOKUP("Erratic Counts",Data!$A$2839:$AT$2839,43,FALSE)</f>
        <v>0</v>
      </c>
      <c r="K45" s="804">
        <f>VLOOKUP("Fail Time",Data!$A$2842:$AT$2842,43,FALSE)</f>
        <v>255</v>
      </c>
      <c r="L45" s="294">
        <f t="shared" si="1"/>
        <v>42</v>
      </c>
      <c r="M45" s="812" t="str">
        <f>IF(VLOOKUP("Call",Data!$A$2836:$AT$2836,43,FALSE)= "On", "X", "-")</f>
        <v>-</v>
      </c>
      <c r="N45" s="803" t="s">
        <v>34</v>
      </c>
      <c r="O45" s="803" t="str">
        <f>IF(VLOOKUP("Queue",Data!$A$2846:$AT$2846,43,FALSE)= "On", "X", "-")</f>
        <v>-</v>
      </c>
      <c r="P45" s="803" t="str">
        <f>IF(VLOOKUP("Added Initial",Data!$A$2835:$AT$2835,43,FALSE)= "On", "X", "-")</f>
        <v>-</v>
      </c>
      <c r="Q45" s="803" t="str">
        <f>IF(VLOOKUP("Red Lock",Data!$A$2848:$AT$2848,43,FALSE)= "On", "X", "-")</f>
        <v>-</v>
      </c>
      <c r="R45" s="803" t="str">
        <f>IF(VLOOKUP("Yellow Lock",Data!$A$2851:$AT$2851,43,FALSE)= "On", "X", "-")</f>
        <v>-</v>
      </c>
      <c r="S45" s="803" t="s">
        <v>34</v>
      </c>
      <c r="T45" s="804" t="str">
        <f>IF(VLOOKUP("Volume",Data!$A$2850:$AT$2850,43,FALSE)= "On", "X", "-")</f>
        <v>-</v>
      </c>
      <c r="U45" s="294">
        <f t="shared" si="2"/>
        <v>42</v>
      </c>
      <c r="V45" s="812" t="str">
        <f>IF(VLOOKUP("Green Occupancy",Data!$A$2942:$AT$2942,43,FALSE)="On", "X", "-")</f>
        <v>X</v>
      </c>
      <c r="W45" s="803" t="str">
        <f>IF(VLOOKUP("Yellow Occupancy",Data!$A$2945:$AT$2945,43,FALSE)="On", "X", "-")</f>
        <v>X</v>
      </c>
      <c r="X45" s="803" t="str">
        <f>IF(VLOOKUP("Red Occupancy",Data!$A$2943:$AT$2943,43,FALSE)="On", "X", "-")</f>
        <v>-</v>
      </c>
      <c r="Y45" s="803">
        <f>VLOOKUP("Delay Phase 1",Data!$A$2939:$AT$2939,43,FALSE)</f>
        <v>0</v>
      </c>
      <c r="Z45" s="803">
        <f>VLOOKUP("Delay Phase 2",Data!$A$2940:$AT$2940,43,FALSE)</f>
        <v>0</v>
      </c>
      <c r="AA45" s="948" t="str">
        <f>VLOOKUP("External Mode",Data!$A$2937:$AT$2946,43,FALSE)</f>
        <v>NORM</v>
      </c>
      <c r="AB45" s="950">
        <f>VLOOKUP("Source",Data!$A$2937:$AT$2946,43,FALSE)</f>
        <v>0</v>
      </c>
      <c r="AC45" s="823" t="str">
        <f>VLOOKUP("Direction",Data!$A$208:$AT$211,43,FALSE)</f>
        <v xml:space="preserve"> </v>
      </c>
      <c r="AD45" s="287">
        <f t="shared" si="3"/>
        <v>42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</row>
    <row r="46" spans="1:59" s="82" customFormat="1" ht="12.6" customHeight="1">
      <c r="A46" s="348">
        <v>43</v>
      </c>
      <c r="B46" s="490" t="s">
        <v>814</v>
      </c>
      <c r="C46" s="801">
        <f>VLOOKUP("Call Phase",Data!$A$2837:$AT$2837,44,FALSE)</f>
        <v>8</v>
      </c>
      <c r="D46" s="802">
        <f>VLOOKUP("Switch Phase",Data!$A$2849:$AT$2849,44,FALSE)</f>
        <v>0</v>
      </c>
      <c r="E46" s="803">
        <f>VLOOKUP("Delay Time",Data!$A$2838:$AT$2838,44,FALSE)</f>
        <v>0</v>
      </c>
      <c r="F46" s="803">
        <f>VLOOKUP("Extend Time",Data!$A$2841:$AT$2841,44,FALSE)</f>
        <v>0</v>
      </c>
      <c r="G46" s="803">
        <f>VLOOKUP("Queue Limit",Data!$A$2847:$AT$2847,44,FALSE)</f>
        <v>0</v>
      </c>
      <c r="H46" s="803">
        <f>VLOOKUP("No Activity",Data!$A$2844:$AT$2844,44,FALSE)</f>
        <v>0</v>
      </c>
      <c r="I46" s="803">
        <f>VLOOKUP("Max Presence",Data!$A$2843:$AT$2843,44,FALSE)</f>
        <v>0</v>
      </c>
      <c r="J46" s="803">
        <f>VLOOKUP("Erratic Counts",Data!$A$2839:$AT$2839,44,FALSE)</f>
        <v>0</v>
      </c>
      <c r="K46" s="804">
        <f>VLOOKUP("Fail Time",Data!$A$2842:$AT$2842,44,FALSE)</f>
        <v>255</v>
      </c>
      <c r="L46" s="294">
        <f t="shared" si="1"/>
        <v>43</v>
      </c>
      <c r="M46" s="812" t="str">
        <f>IF(VLOOKUP("Call",Data!$A$2836:$AT$2836,44,FALSE)= "On", "X", "-")</f>
        <v>-</v>
      </c>
      <c r="N46" s="803" t="s">
        <v>34</v>
      </c>
      <c r="O46" s="803" t="str">
        <f>IF(VLOOKUP("Queue",Data!$A$2846:$AT$2846,44,FALSE)= "On", "X", "-")</f>
        <v>-</v>
      </c>
      <c r="P46" s="803" t="str">
        <f>IF(VLOOKUP("Added Initial",Data!$A$2835:$AT$2835,44,FALSE)= "On", "X", "-")</f>
        <v>-</v>
      </c>
      <c r="Q46" s="803" t="str">
        <f>IF(VLOOKUP("Red Lock",Data!$A$2848:$AT$2848,44,FALSE)= "On", "X", "-")</f>
        <v>-</v>
      </c>
      <c r="R46" s="803" t="str">
        <f>IF(VLOOKUP("Yellow Lock",Data!$A$2851:$AT$2851,44,FALSE)= "On", "X", "-")</f>
        <v>-</v>
      </c>
      <c r="S46" s="803" t="s">
        <v>34</v>
      </c>
      <c r="T46" s="804" t="str">
        <f>IF(VLOOKUP("Volume",Data!$A$2850:$AT$2850,44,FALSE)= "On", "X", "-")</f>
        <v>-</v>
      </c>
      <c r="U46" s="294">
        <f t="shared" si="2"/>
        <v>43</v>
      </c>
      <c r="V46" s="812" t="str">
        <f>IF(VLOOKUP("Green Occupancy",Data!$A$2942:$AT$2942,44,FALSE)="On", "X", "-")</f>
        <v>X</v>
      </c>
      <c r="W46" s="803" t="str">
        <f>IF(VLOOKUP("Yellow Occupancy",Data!$A$2945:$AT$2945,44,FALSE)="On", "X", "-")</f>
        <v>X</v>
      </c>
      <c r="X46" s="803" t="str">
        <f>IF(VLOOKUP("Red Occupancy",Data!$A$2943:$AT$2943,44,FALSE)="On", "X", "-")</f>
        <v>-</v>
      </c>
      <c r="Y46" s="803">
        <f>VLOOKUP("Delay Phase 1",Data!$A$2939:$AT$2939,44,FALSE)</f>
        <v>0</v>
      </c>
      <c r="Z46" s="818">
        <f>VLOOKUP("Delay Phase 2",Data!$A$2940:$AT$2940,44,FALSE)</f>
        <v>0</v>
      </c>
      <c r="AA46" s="948" t="str">
        <f>VLOOKUP("External Mode",Data!$A$2937:$AT$2946,44,FALSE)</f>
        <v>NORM</v>
      </c>
      <c r="AB46" s="950">
        <f>VLOOKUP("Source",Data!$A$2937:$AT$2946,44,FALSE)</f>
        <v>0</v>
      </c>
      <c r="AC46" s="823" t="str">
        <f>VLOOKUP("Direction",Data!$A$208:$AT$211,44,FALSE)</f>
        <v xml:space="preserve"> </v>
      </c>
      <c r="AD46" s="287">
        <f t="shared" si="3"/>
        <v>43</v>
      </c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</row>
    <row r="47" spans="1:59" s="82" customFormat="1" ht="12.6" customHeight="1" thickBot="1">
      <c r="A47" s="969">
        <v>44</v>
      </c>
      <c r="B47" s="491" t="s">
        <v>815</v>
      </c>
      <c r="C47" s="808">
        <f>VLOOKUP("Call Phase",Data!$A$2837:$AT$2837,45,FALSE)</f>
        <v>8</v>
      </c>
      <c r="D47" s="809">
        <f>VLOOKUP("Switch Phase",Data!$A$2849:$AT$2849,45,FALSE)</f>
        <v>0</v>
      </c>
      <c r="E47" s="810">
        <f>VLOOKUP("Delay Time",Data!$A$2838:$AT$2838,45,FALSE)</f>
        <v>0</v>
      </c>
      <c r="F47" s="810">
        <f>VLOOKUP("Extend Time",Data!$A$2841:$AT$2841,45,FALSE)</f>
        <v>0</v>
      </c>
      <c r="G47" s="810">
        <f>VLOOKUP("Queue Limit",Data!$A$2847:$AT$2847,45,FALSE)</f>
        <v>0</v>
      </c>
      <c r="H47" s="810">
        <f>VLOOKUP("No Activity",Data!$A$2844:$AT$2844,45,FALSE)</f>
        <v>0</v>
      </c>
      <c r="I47" s="810">
        <f>VLOOKUP("Max Presence",Data!$A$2843:$AT$2843,45,FALSE)</f>
        <v>0</v>
      </c>
      <c r="J47" s="810">
        <f>VLOOKUP("Erratic Counts",Data!$A$2839:$AT$2839,45,FALSE)</f>
        <v>0</v>
      </c>
      <c r="K47" s="811">
        <f>VLOOKUP("Fail Time",Data!$A$2842:$AT$2842,45,FALSE)</f>
        <v>255</v>
      </c>
      <c r="L47" s="295">
        <f t="shared" si="1"/>
        <v>44</v>
      </c>
      <c r="M47" s="816" t="str">
        <f>IF(VLOOKUP("Call",Data!$A$2836:$AT$2836,45,FALSE)= "On", "X", "-")</f>
        <v>-</v>
      </c>
      <c r="N47" s="810" t="s">
        <v>34</v>
      </c>
      <c r="O47" s="810" t="str">
        <f>IF(VLOOKUP("Queue",Data!$A$2846:$AT$2846,45,FALSE)= "On", "X", "-")</f>
        <v>-</v>
      </c>
      <c r="P47" s="810" t="str">
        <f>IF(VLOOKUP("Added Initial",Data!$A$2835:$AT$2835,45,FALSE)= "On", "X", "-")</f>
        <v>-</v>
      </c>
      <c r="Q47" s="810" t="str">
        <f>IF(VLOOKUP("Red Lock",Data!$A$2848:$AT$2848,45,FALSE)= "On", "X", "-")</f>
        <v>-</v>
      </c>
      <c r="R47" s="810" t="str">
        <f>IF(VLOOKUP("Yellow Lock",Data!$A$2851:$AT$2851,45,FALSE)= "On", "X", "-")</f>
        <v>-</v>
      </c>
      <c r="S47" s="810" t="s">
        <v>34</v>
      </c>
      <c r="T47" s="811" t="str">
        <f>IF(VLOOKUP("Volume",Data!$A$2850:$AT$2850,45,FALSE)= "On", "X", "-")</f>
        <v>-</v>
      </c>
      <c r="U47" s="295">
        <f t="shared" si="2"/>
        <v>44</v>
      </c>
      <c r="V47" s="816" t="str">
        <f>IF(VLOOKUP("Green Occupancy",Data!$A$2942:$AT$2942,45,FALSE)="On", "X", "-")</f>
        <v>X</v>
      </c>
      <c r="W47" s="810" t="str">
        <f>IF(VLOOKUP("Yellow Occupancy",Data!$A$2945:$AT$2945,45,FALSE)="On", "X", "-")</f>
        <v>X</v>
      </c>
      <c r="X47" s="810" t="str">
        <f>IF(VLOOKUP("Red Occupancy",Data!$A$2943:$AT$2943,45,FALSE)="On", "X", "-")</f>
        <v>-</v>
      </c>
      <c r="Y47" s="810">
        <f>VLOOKUP("Delay Phase 1",Data!$A$2939:$AT$2939,45,FALSE)</f>
        <v>0</v>
      </c>
      <c r="Z47" s="819">
        <f>VLOOKUP("Delay Phase 2",Data!$A$2940:$AT$2940,45,FALSE)</f>
        <v>0</v>
      </c>
      <c r="AA47" s="949" t="str">
        <f>VLOOKUP("External Mode",Data!$A$2937:$AT$2946,45,FALSE)</f>
        <v>NORM</v>
      </c>
      <c r="AB47" s="951">
        <f>VLOOKUP("Source",Data!$A$2937:$AT$2946,45,FALSE)</f>
        <v>0</v>
      </c>
      <c r="AC47" s="826" t="str">
        <f>VLOOKUP("Direction",Data!$A$208:$AT$211,45,FALSE)</f>
        <v xml:space="preserve"> </v>
      </c>
      <c r="AD47" s="290">
        <f t="shared" si="3"/>
        <v>44</v>
      </c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</row>
    <row r="48" spans="1:59" s="82" customFormat="1" ht="12.6" customHeight="1">
      <c r="A48" s="2402" t="s">
        <v>654</v>
      </c>
      <c r="B48" s="343"/>
      <c r="C48" s="2404">
        <f>VLOOKUP("ID",Data!$A:$AT,2,FALSE)</f>
        <v>0</v>
      </c>
      <c r="D48" s="2404"/>
      <c r="E48" s="2413" t="s">
        <v>658</v>
      </c>
      <c r="F48" s="2413"/>
      <c r="G48" s="2413"/>
      <c r="H48" s="2415" t="str">
        <f>VLOOKUP("NAME",Data!$A:$AT,2,FALSE)</f>
        <v>Alpha @ Beta</v>
      </c>
      <c r="I48" s="2415"/>
      <c r="J48" s="2415"/>
      <c r="K48" s="2415"/>
      <c r="L48" s="2415"/>
      <c r="M48" s="2415"/>
      <c r="N48" s="2415"/>
      <c r="O48" s="2415"/>
      <c r="P48" s="2415"/>
      <c r="Q48" s="2415"/>
      <c r="R48" s="2416"/>
      <c r="S48" s="2408" t="s">
        <v>309</v>
      </c>
      <c r="T48" s="2409"/>
      <c r="U48" s="2409"/>
      <c r="V48" s="1466"/>
      <c r="W48" s="820">
        <f>VLOOKUP("Vol/Occ Period Seconds",Data!$A:$AT,2,FALSE)</f>
        <v>0</v>
      </c>
      <c r="X48" s="194" t="s">
        <v>310</v>
      </c>
      <c r="Y48" s="195"/>
      <c r="Z48" s="2406" t="s">
        <v>743</v>
      </c>
      <c r="AA48" s="2407"/>
      <c r="AB48" s="2407"/>
      <c r="AC48" s="2407"/>
      <c r="AD48" s="1127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</row>
    <row r="49" spans="1:59" s="82" customFormat="1" ht="12.6" customHeight="1" thickBot="1">
      <c r="A49" s="2403"/>
      <c r="B49" s="344"/>
      <c r="C49" s="2405"/>
      <c r="D49" s="2405"/>
      <c r="E49" s="2414"/>
      <c r="F49" s="2414"/>
      <c r="G49" s="2414"/>
      <c r="H49" s="2417"/>
      <c r="I49" s="2417"/>
      <c r="J49" s="2417"/>
      <c r="K49" s="2417"/>
      <c r="L49" s="2417"/>
      <c r="M49" s="2417"/>
      <c r="N49" s="2417"/>
      <c r="O49" s="2417"/>
      <c r="P49" s="2417"/>
      <c r="Q49" s="2417"/>
      <c r="R49" s="2418"/>
      <c r="S49" s="2410"/>
      <c r="T49" s="2411"/>
      <c r="U49" s="2411"/>
      <c r="V49" s="2412"/>
      <c r="W49" s="821">
        <f>VLOOKUP("Vol/Occ Period Minutes",Data!$A:$AT,2,FALSE)</f>
        <v>5</v>
      </c>
      <c r="X49" s="88" t="s">
        <v>311</v>
      </c>
      <c r="Y49" s="89"/>
      <c r="Z49" s="2419">
        <f ca="1">TODAY()</f>
        <v>45364</v>
      </c>
      <c r="AA49" s="2420"/>
      <c r="AB49" s="185"/>
      <c r="AC49" s="2421" t="s">
        <v>3962</v>
      </c>
      <c r="AD49" s="2422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</row>
    <row r="50" spans="1:59" ht="12" customHeight="1">
      <c r="AF50" s="93"/>
      <c r="AG50" s="93"/>
      <c r="AH50" s="93"/>
      <c r="AI50" s="93"/>
    </row>
    <row r="51" spans="1:59" ht="12" customHeight="1"/>
    <row r="52" spans="1:59" ht="12" customHeight="1"/>
    <row r="53" spans="1:59" ht="12" customHeight="1">
      <c r="U53" s="79"/>
      <c r="V53"/>
      <c r="W53"/>
      <c r="X53"/>
      <c r="Y53"/>
      <c r="Z53"/>
      <c r="AA53" s="2"/>
      <c r="AB53"/>
      <c r="AC53" s="2"/>
    </row>
    <row r="54" spans="1:59" ht="12" customHeight="1">
      <c r="U54" s="79"/>
      <c r="V54"/>
      <c r="W54"/>
      <c r="X54"/>
      <c r="Y54"/>
      <c r="Z54"/>
      <c r="AA54" s="2"/>
      <c r="AB54"/>
      <c r="AC54" s="2"/>
    </row>
    <row r="55" spans="1:59" ht="12" customHeight="1">
      <c r="U55" s="79"/>
      <c r="V55"/>
      <c r="W55"/>
      <c r="X55"/>
      <c r="Y55"/>
      <c r="Z55"/>
      <c r="AA55" s="2"/>
      <c r="AB55"/>
      <c r="AC55" s="2"/>
    </row>
    <row r="56" spans="1:59" ht="12" customHeight="1">
      <c r="U56" s="79"/>
      <c r="V56"/>
      <c r="W56"/>
      <c r="X56"/>
      <c r="Y56"/>
      <c r="Z56"/>
      <c r="AA56" s="2"/>
      <c r="AB56"/>
      <c r="AC56" s="2"/>
    </row>
    <row r="57" spans="1:59" ht="12" customHeight="1">
      <c r="U57" s="79"/>
      <c r="V57"/>
      <c r="W57"/>
      <c r="X57"/>
      <c r="Y57"/>
      <c r="Z57"/>
      <c r="AA57" s="2"/>
      <c r="AB57"/>
      <c r="AC57" s="2"/>
    </row>
    <row r="58" spans="1:59" ht="12" customHeight="1">
      <c r="U58" s="79"/>
      <c r="V58"/>
      <c r="W58"/>
      <c r="X58"/>
      <c r="Y58"/>
      <c r="Z58"/>
      <c r="AA58" s="2"/>
      <c r="AB58"/>
      <c r="AC58" s="2"/>
    </row>
    <row r="59" spans="1:59" ht="12" customHeight="1">
      <c r="U59" s="79"/>
      <c r="V59"/>
      <c r="W59"/>
      <c r="X59"/>
      <c r="Y59"/>
      <c r="Z59"/>
      <c r="AA59" s="2"/>
      <c r="AB59"/>
      <c r="AC59" s="2"/>
    </row>
    <row r="60" spans="1:59" ht="12" customHeight="1">
      <c r="U60" s="79"/>
      <c r="V60"/>
      <c r="W60"/>
      <c r="X60"/>
      <c r="Y60"/>
      <c r="Z60"/>
      <c r="AA60" s="2"/>
      <c r="AB60"/>
      <c r="AC60" s="2"/>
    </row>
    <row r="61" spans="1:59" ht="12" customHeight="1">
      <c r="U61" s="79"/>
      <c r="V61"/>
      <c r="W61"/>
      <c r="X61"/>
      <c r="Y61"/>
      <c r="Z61"/>
      <c r="AA61" s="2"/>
      <c r="AB61"/>
      <c r="AC61" s="2"/>
    </row>
    <row r="62" spans="1:59" ht="12" customHeight="1">
      <c r="U62" s="79"/>
      <c r="V62"/>
      <c r="W62"/>
      <c r="X62"/>
      <c r="Y62"/>
      <c r="Z62"/>
      <c r="AA62" s="2"/>
      <c r="AB62"/>
      <c r="AC62" s="2"/>
    </row>
    <row r="63" spans="1:59" ht="12" customHeight="1">
      <c r="U63" s="79"/>
      <c r="V63"/>
      <c r="W63"/>
      <c r="X63"/>
      <c r="Y63"/>
      <c r="Z63"/>
      <c r="AA63" s="2"/>
      <c r="AB63"/>
      <c r="AC63" s="2"/>
    </row>
    <row r="64" spans="1:59" ht="12" customHeight="1">
      <c r="U64" s="79"/>
      <c r="V64"/>
      <c r="W64"/>
      <c r="X64"/>
      <c r="Y64"/>
      <c r="Z64"/>
      <c r="AA64" s="2"/>
      <c r="AB64"/>
      <c r="AC64" s="2"/>
    </row>
    <row r="65" spans="21:29" ht="12" customHeight="1">
      <c r="U65" s="79"/>
      <c r="V65"/>
      <c r="W65"/>
      <c r="X65"/>
      <c r="Y65"/>
      <c r="Z65"/>
      <c r="AA65" s="2"/>
      <c r="AB65"/>
      <c r="AC65" s="2"/>
    </row>
    <row r="66" spans="21:29" ht="12" customHeight="1">
      <c r="U66" s="79"/>
      <c r="V66"/>
      <c r="W66"/>
      <c r="X66"/>
      <c r="Y66"/>
      <c r="Z66"/>
      <c r="AA66" s="2"/>
      <c r="AB66"/>
      <c r="AC66" s="2"/>
    </row>
    <row r="67" spans="21:29" ht="12" customHeight="1">
      <c r="U67" s="79"/>
      <c r="V67"/>
      <c r="W67"/>
      <c r="X67"/>
      <c r="Y67"/>
      <c r="Z67"/>
      <c r="AA67" s="2"/>
      <c r="AB67"/>
      <c r="AC67" s="2"/>
    </row>
    <row r="68" spans="21:29" ht="12" customHeight="1">
      <c r="U68" s="79"/>
      <c r="V68"/>
      <c r="W68"/>
      <c r="X68"/>
      <c r="Y68"/>
      <c r="Z68"/>
      <c r="AA68" s="2"/>
      <c r="AB68"/>
      <c r="AC68" s="2"/>
    </row>
    <row r="69" spans="21:29" ht="12" customHeight="1">
      <c r="U69" s="79"/>
      <c r="V69"/>
      <c r="W69"/>
      <c r="X69"/>
      <c r="Y69"/>
      <c r="Z69"/>
      <c r="AA69" s="2"/>
      <c r="AB69"/>
      <c r="AC69" s="2"/>
    </row>
    <row r="70" spans="21:29" ht="12" customHeight="1">
      <c r="U70" s="79"/>
      <c r="V70"/>
      <c r="W70"/>
      <c r="X70"/>
      <c r="Y70"/>
      <c r="Z70"/>
      <c r="AA70" s="2"/>
      <c r="AB70"/>
      <c r="AC70" s="2"/>
    </row>
    <row r="71" spans="21:29" ht="12" customHeight="1">
      <c r="U71" s="79"/>
      <c r="V71"/>
      <c r="W71"/>
      <c r="X71"/>
      <c r="Y71"/>
      <c r="Z71"/>
      <c r="AA71" s="2"/>
      <c r="AB71"/>
      <c r="AC71" s="2"/>
    </row>
    <row r="72" spans="21:29" ht="12" customHeight="1">
      <c r="U72" s="79"/>
      <c r="V72"/>
      <c r="W72"/>
      <c r="X72"/>
      <c r="Y72"/>
      <c r="Z72"/>
      <c r="AA72" s="2"/>
      <c r="AB72"/>
      <c r="AC72" s="2"/>
    </row>
    <row r="73" spans="21:29" ht="12" customHeight="1">
      <c r="U73" s="79"/>
      <c r="V73"/>
      <c r="W73"/>
      <c r="X73"/>
      <c r="Y73"/>
      <c r="Z73"/>
      <c r="AA73" s="2"/>
      <c r="AB73"/>
      <c r="AC73" s="2"/>
    </row>
    <row r="74" spans="21:29" ht="12" customHeight="1">
      <c r="U74" s="79"/>
      <c r="V74"/>
      <c r="W74"/>
      <c r="X74"/>
      <c r="Y74"/>
      <c r="Z74"/>
      <c r="AA74" s="2"/>
      <c r="AB74"/>
      <c r="AC74" s="2"/>
    </row>
    <row r="75" spans="21:29" ht="12" customHeight="1">
      <c r="U75" s="79"/>
      <c r="V75"/>
      <c r="W75"/>
      <c r="X75"/>
      <c r="Y75"/>
      <c r="Z75"/>
      <c r="AA75" s="2"/>
      <c r="AB75"/>
      <c r="AC75" s="2"/>
    </row>
    <row r="76" spans="21:29" ht="12" customHeight="1">
      <c r="U76" s="79"/>
      <c r="V76"/>
      <c r="W76"/>
      <c r="X76"/>
      <c r="Y76"/>
      <c r="Z76"/>
      <c r="AA76" s="2"/>
      <c r="AB76"/>
      <c r="AC76" s="2"/>
    </row>
    <row r="77" spans="21:29" ht="12" customHeight="1">
      <c r="U77" s="79"/>
      <c r="V77"/>
      <c r="W77"/>
      <c r="X77"/>
      <c r="Y77"/>
      <c r="Z77"/>
      <c r="AA77" s="2"/>
      <c r="AB77"/>
      <c r="AC77" s="2"/>
    </row>
    <row r="78" spans="21:29" ht="12" customHeight="1">
      <c r="U78" s="79"/>
      <c r="V78"/>
      <c r="W78"/>
      <c r="X78"/>
      <c r="Y78"/>
      <c r="Z78"/>
      <c r="AA78" s="2"/>
      <c r="AB78"/>
      <c r="AC78" s="2"/>
    </row>
    <row r="79" spans="21:29" ht="12" customHeight="1">
      <c r="U79" s="79"/>
      <c r="V79"/>
      <c r="W79"/>
      <c r="X79"/>
      <c r="Y79"/>
      <c r="Z79"/>
      <c r="AA79" s="2"/>
      <c r="AB79"/>
      <c r="AC79" s="2"/>
    </row>
    <row r="80" spans="21:29" ht="12" customHeight="1">
      <c r="U80" s="79"/>
      <c r="V80"/>
      <c r="W80"/>
      <c r="X80"/>
      <c r="Y80"/>
      <c r="Z80"/>
      <c r="AA80" s="2"/>
      <c r="AB80"/>
      <c r="AC80" s="2"/>
    </row>
    <row r="81" spans="21:29" ht="12" customHeight="1">
      <c r="U81" s="79"/>
      <c r="V81"/>
      <c r="W81"/>
      <c r="X81"/>
      <c r="Y81"/>
      <c r="Z81"/>
      <c r="AA81" s="2"/>
      <c r="AB81"/>
      <c r="AC81" s="2"/>
    </row>
    <row r="82" spans="21:29" ht="12" customHeight="1">
      <c r="U82" s="79"/>
      <c r="V82"/>
      <c r="W82"/>
      <c r="X82"/>
      <c r="Y82"/>
      <c r="Z82"/>
      <c r="AA82" s="2"/>
      <c r="AB82"/>
      <c r="AC82" s="2"/>
    </row>
    <row r="83" spans="21:29" ht="12" customHeight="1">
      <c r="U83" s="79"/>
      <c r="V83"/>
      <c r="W83"/>
      <c r="X83"/>
      <c r="Y83"/>
      <c r="Z83"/>
      <c r="AA83" s="2"/>
      <c r="AB83"/>
      <c r="AC83" s="2"/>
    </row>
    <row r="84" spans="21:29" ht="12" customHeight="1">
      <c r="U84" s="79"/>
      <c r="V84"/>
      <c r="W84"/>
      <c r="X84"/>
      <c r="Y84"/>
      <c r="Z84"/>
      <c r="AA84" s="2"/>
      <c r="AB84"/>
      <c r="AC84" s="2"/>
    </row>
    <row r="85" spans="21:29" ht="12" customHeight="1">
      <c r="U85" s="79"/>
      <c r="V85"/>
      <c r="W85"/>
      <c r="X85"/>
      <c r="Y85"/>
      <c r="Z85"/>
      <c r="AA85" s="2"/>
      <c r="AB85"/>
      <c r="AC85" s="2"/>
    </row>
    <row r="86" spans="21:29" ht="12" customHeight="1">
      <c r="U86" s="79"/>
      <c r="V86"/>
      <c r="W86"/>
      <c r="X86"/>
      <c r="Y86"/>
      <c r="Z86"/>
      <c r="AA86" s="2"/>
      <c r="AB86"/>
      <c r="AC86" s="2"/>
    </row>
    <row r="87" spans="21:29" ht="12" customHeight="1">
      <c r="U87" s="79"/>
      <c r="V87"/>
      <c r="W87"/>
      <c r="X87"/>
      <c r="Y87"/>
      <c r="Z87"/>
      <c r="AA87" s="2"/>
      <c r="AB87"/>
      <c r="AC87" s="2"/>
    </row>
    <row r="88" spans="21:29" ht="12" customHeight="1"/>
    <row r="89" spans="21:29" ht="12" customHeight="1"/>
    <row r="90" spans="21:29" ht="12" customHeight="1"/>
    <row r="91" spans="21:29" ht="12" customHeight="1"/>
    <row r="92" spans="21:29" ht="12" customHeight="1"/>
    <row r="93" spans="21:29" ht="12" customHeight="1"/>
    <row r="94" spans="21:29" ht="12" customHeight="1"/>
    <row r="95" spans="21:29" ht="12" customHeight="1"/>
    <row r="96" spans="21:29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sheetProtection selectLockedCells="1" selectUnlockedCells="1"/>
  <mergeCells count="21">
    <mergeCell ref="Y2:Z2"/>
    <mergeCell ref="AA2:AA3"/>
    <mergeCell ref="AB2:AB3"/>
    <mergeCell ref="AC1:AC2"/>
    <mergeCell ref="E2:E3"/>
    <mergeCell ref="V2:X2"/>
    <mergeCell ref="O2:O3"/>
    <mergeCell ref="S2:S3"/>
    <mergeCell ref="N2:N3"/>
    <mergeCell ref="T2:T3"/>
    <mergeCell ref="F2:F3"/>
    <mergeCell ref="G2:G3"/>
    <mergeCell ref="M2:M3"/>
    <mergeCell ref="A48:A49"/>
    <mergeCell ref="C48:D49"/>
    <mergeCell ref="Z48:AC48"/>
    <mergeCell ref="S48:V49"/>
    <mergeCell ref="E48:G49"/>
    <mergeCell ref="H48:R49"/>
    <mergeCell ref="Z49:AA49"/>
    <mergeCell ref="AC49:AD49"/>
  </mergeCells>
  <conditionalFormatting sqref="AD2:AD35 L50:R53 I50:K55 A1:B35 Y24:AB33 K1:L1 U1:U35 V2:Z2 S2:T2 L2:L35 M2:O2 E2:G2 Y4:AB13 C5:G16 C19:G34 C36:G38 C40:G42 Y36:AB41 C2:D47 E4:G47 M4:O47 P2:R47 Y5:Z47 M36:R47">
    <cfRule type="cellIs" dxfId="9" priority="48" stopIfTrue="1" operator="equal">
      <formula>0</formula>
    </cfRule>
  </conditionalFormatting>
  <conditionalFormatting sqref="H2:K47">
    <cfRule type="cellIs" dxfId="8" priority="47" stopIfTrue="1" operator="equal">
      <formula>0</formula>
    </cfRule>
  </conditionalFormatting>
  <conditionalFormatting sqref="Y14:AB23 C14:G23 Y34:AB47 C34:G47">
    <cfRule type="cellIs" dxfId="7" priority="46" stopIfTrue="1" operator="equal">
      <formula>0</formula>
    </cfRule>
  </conditionalFormatting>
  <conditionalFormatting sqref="S4:T47 V4:X47">
    <cfRule type="cellIs" dxfId="6" priority="45" stopIfTrue="1" operator="equal">
      <formula>0</formula>
    </cfRule>
  </conditionalFormatting>
  <printOptions horizontalCentered="1" verticalCentered="1"/>
  <pageMargins left="0.12" right="0.12" top="0.12" bottom="0.12" header="0" footer="0"/>
  <pageSetup scale="96" fitToHeight="0" orientation="landscape" horizontalDpi="525" verticalDpi="52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51"/>
  </sheetPr>
  <dimension ref="A1:AQ139"/>
  <sheetViews>
    <sheetView zoomScaleNormal="100" zoomScaleSheetLayoutView="100" workbookViewId="0">
      <selection activeCell="L18" sqref="L18"/>
    </sheetView>
  </sheetViews>
  <sheetFormatPr defaultRowHeight="21.9" customHeight="1"/>
  <cols>
    <col min="1" max="1" width="9.5546875" customWidth="1"/>
    <col min="2" max="9" width="3.6640625" customWidth="1"/>
    <col min="10" max="10" width="3.33203125" customWidth="1"/>
    <col min="11" max="11" width="9.5546875" customWidth="1"/>
    <col min="12" max="19" width="3.6640625" customWidth="1"/>
    <col min="20" max="20" width="4.88671875" customWidth="1"/>
    <col min="21" max="21" width="4.88671875" bestFit="1" customWidth="1"/>
    <col min="22" max="22" width="5" bestFit="1" customWidth="1"/>
    <col min="23" max="23" width="5.5546875" bestFit="1" customWidth="1"/>
    <col min="24" max="24" width="6.109375" customWidth="1"/>
    <col min="25" max="32" width="1.44140625" customWidth="1"/>
    <col min="33" max="33" width="5.109375" bestFit="1" customWidth="1"/>
    <col min="34" max="34" width="4.6640625" bestFit="1" customWidth="1"/>
    <col min="35" max="35" width="4.33203125" bestFit="1" customWidth="1"/>
    <col min="36" max="36" width="4.44140625" customWidth="1"/>
  </cols>
  <sheetData>
    <row r="1" spans="1:39" s="91" customFormat="1" ht="12" customHeight="1" thickBot="1">
      <c r="A1" s="239" t="s">
        <v>312</v>
      </c>
      <c r="B1" s="94"/>
      <c r="C1" s="94"/>
      <c r="D1" s="95"/>
      <c r="E1" s="94"/>
      <c r="F1" s="94"/>
      <c r="G1" s="94"/>
      <c r="H1" s="94"/>
      <c r="I1" s="94"/>
      <c r="J1" s="96"/>
      <c r="K1" s="242" t="s">
        <v>313</v>
      </c>
      <c r="L1" s="94"/>
      <c r="M1" s="94"/>
      <c r="N1" s="95"/>
      <c r="O1" s="95"/>
      <c r="P1" s="94"/>
      <c r="Q1" s="94"/>
      <c r="R1" s="94"/>
      <c r="S1" s="94"/>
      <c r="T1" s="2450" t="s">
        <v>314</v>
      </c>
      <c r="U1" s="2451"/>
      <c r="V1" s="2451"/>
      <c r="W1" s="2451"/>
      <c r="X1" s="2451"/>
      <c r="Y1" s="2451"/>
      <c r="Z1" s="2451"/>
      <c r="AA1" s="2451"/>
      <c r="AB1" s="2451"/>
      <c r="AC1" s="2451"/>
      <c r="AD1" s="2451"/>
      <c r="AE1" s="2451"/>
      <c r="AF1" s="2451"/>
      <c r="AG1" s="2451"/>
      <c r="AH1" s="2451"/>
      <c r="AI1" s="2451"/>
      <c r="AJ1" s="2452"/>
      <c r="AK1" s="82"/>
      <c r="AL1" s="82"/>
      <c r="AM1" s="82"/>
    </row>
    <row r="2" spans="1:39" s="91" customFormat="1" ht="12" customHeight="1">
      <c r="A2" s="197" t="s">
        <v>315</v>
      </c>
      <c r="B2" s="55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97"/>
      <c r="K2" s="198" t="s">
        <v>316</v>
      </c>
      <c r="L2" s="98">
        <v>1</v>
      </c>
      <c r="M2" s="98">
        <v>2</v>
      </c>
      <c r="N2" s="98">
        <v>3</v>
      </c>
      <c r="O2" s="98">
        <v>4</v>
      </c>
      <c r="P2" s="98">
        <v>5</v>
      </c>
      <c r="Q2" s="98">
        <v>6</v>
      </c>
      <c r="R2" s="98">
        <v>7</v>
      </c>
      <c r="S2" s="196">
        <v>8</v>
      </c>
      <c r="T2" s="2200" t="s">
        <v>214</v>
      </c>
      <c r="U2" s="2222" t="s">
        <v>317</v>
      </c>
      <c r="V2" s="2222" t="s">
        <v>318</v>
      </c>
      <c r="W2" s="2222" t="s">
        <v>319</v>
      </c>
      <c r="X2" s="2453" t="s">
        <v>320</v>
      </c>
      <c r="Y2" s="2455" t="s">
        <v>321</v>
      </c>
      <c r="Z2" s="2456"/>
      <c r="AA2" s="2456"/>
      <c r="AB2" s="2456"/>
      <c r="AC2" s="2456"/>
      <c r="AD2" s="2456"/>
      <c r="AE2" s="2456"/>
      <c r="AF2" s="2457"/>
      <c r="AG2" s="2458" t="s">
        <v>763</v>
      </c>
      <c r="AH2" s="2222" t="s">
        <v>322</v>
      </c>
      <c r="AI2" s="2222" t="s">
        <v>115</v>
      </c>
      <c r="AJ2" s="2216" t="s">
        <v>323</v>
      </c>
      <c r="AK2" s="82"/>
      <c r="AL2" s="82"/>
      <c r="AM2" s="82"/>
    </row>
    <row r="3" spans="1:39" s="91" customFormat="1" ht="12" customHeight="1" thickBot="1">
      <c r="A3" s="197" t="s">
        <v>324</v>
      </c>
      <c r="B3" s="952">
        <f>VLOOKUP("Assign Ph",Data!$A$1487:$AT$1498,2,FALSE)</f>
        <v>0</v>
      </c>
      <c r="C3" s="952">
        <f>VLOOKUP("Assign Ph",Data!$A$1487:$AT$1498,3,FALSE)</f>
        <v>0</v>
      </c>
      <c r="D3" s="952">
        <f>VLOOKUP("Assign Ph",Data!$A$1487:$AT$1498,4,FALSE)</f>
        <v>0</v>
      </c>
      <c r="E3" s="952">
        <f>VLOOKUP("Assign Ph",Data!$A$1487:$AT$1498,5,FALSE)</f>
        <v>0</v>
      </c>
      <c r="F3" s="952">
        <f>VLOOKUP("Assign Ph",Data!$A$1487:$AT$1498,6,FALSE)</f>
        <v>0</v>
      </c>
      <c r="G3" s="952">
        <f>VLOOKUP("Assign Ph",Data!$A$1487:$AT$1498,7,FALSE)</f>
        <v>0</v>
      </c>
      <c r="H3" s="952">
        <f>VLOOKUP("Assign Ph",Data!$A$1487:$AT$1498,8,FALSE)</f>
        <v>0</v>
      </c>
      <c r="I3" s="952">
        <f>VLOOKUP("Assign Ph",Data!$A$1487:$AT$1498,9,FALSE)</f>
        <v>0</v>
      </c>
      <c r="J3" s="97"/>
      <c r="K3" s="198" t="s">
        <v>324</v>
      </c>
      <c r="L3" s="864">
        <f>VLOOKUP("Assign Phase",Data!$A$1356:$I$1356,2,FALSE)</f>
        <v>0</v>
      </c>
      <c r="M3" s="865">
        <f>VLOOKUP("Assign Phase",Data!$A$1356:$I$1356,3,FALSE)</f>
        <v>0</v>
      </c>
      <c r="N3" s="866">
        <f>VLOOKUP("Assign Phase",Data!$A$1356:$I$1356,4,FALSE)</f>
        <v>0</v>
      </c>
      <c r="O3" s="865">
        <f>VLOOKUP("Assign Phase",Data!$A$1356:$I$1356,5,FALSE)</f>
        <v>0</v>
      </c>
      <c r="P3" s="866">
        <f>VLOOKUP("Assign Phase",Data!$A$1356:$I$1356,6,FALSE)</f>
        <v>0</v>
      </c>
      <c r="Q3" s="865">
        <f>VLOOKUP("Assign Phase",Data!$A$1356:$I$1356,7,FALSE)</f>
        <v>0</v>
      </c>
      <c r="R3" s="866">
        <f>VLOOKUP("Assign Phase",Data!$A$1356:$I$1356,8,FALSE)</f>
        <v>0</v>
      </c>
      <c r="S3" s="867">
        <f>VLOOKUP("Assign Phase",Data!$A$1356:$I$1356,9,FALSE)</f>
        <v>0</v>
      </c>
      <c r="T3" s="2200"/>
      <c r="U3" s="2437"/>
      <c r="V3" s="2437"/>
      <c r="W3" s="2223"/>
      <c r="X3" s="2454"/>
      <c r="Y3" s="330">
        <v>1</v>
      </c>
      <c r="Z3" s="331">
        <v>2</v>
      </c>
      <c r="AA3" s="331">
        <v>3</v>
      </c>
      <c r="AB3" s="331">
        <v>4</v>
      </c>
      <c r="AC3" s="331">
        <v>5</v>
      </c>
      <c r="AD3" s="331">
        <v>6</v>
      </c>
      <c r="AE3" s="331">
        <v>7</v>
      </c>
      <c r="AF3" s="332">
        <v>8</v>
      </c>
      <c r="AG3" s="2459"/>
      <c r="AH3" s="2437"/>
      <c r="AI3" s="2437"/>
      <c r="AJ3" s="2217"/>
      <c r="AK3" s="82"/>
      <c r="AL3" s="82"/>
      <c r="AM3" s="82"/>
    </row>
    <row r="4" spans="1:39" s="91" customFormat="1" ht="12" customHeight="1" thickTop="1">
      <c r="A4" s="99" t="s">
        <v>37</v>
      </c>
      <c r="B4" s="953">
        <f>VLOOKUP("Min Green",Data!$A$1487:$AT$1498,2,FALSE)</f>
        <v>0</v>
      </c>
      <c r="C4" s="953">
        <f>VLOOKUP("Min Green",Data!$A$1487:$AT$1498,3,FALSE)</f>
        <v>0</v>
      </c>
      <c r="D4" s="953">
        <f>VLOOKUP("Min Green",Data!$A$1487:$AT$1498,4,FALSE)</f>
        <v>0</v>
      </c>
      <c r="E4" s="953">
        <f>VLOOKUP("Min Green",Data!$A$1487:$AT$1498,5,FALSE)</f>
        <v>0</v>
      </c>
      <c r="F4" s="953">
        <f>VLOOKUP("Min Green",Data!$A$1487:$AT$1498,6,FALSE)</f>
        <v>0</v>
      </c>
      <c r="G4" s="953">
        <f>VLOOKUP("Min Green",Data!$A$1487:$AT$1498,7,FALSE)</f>
        <v>0</v>
      </c>
      <c r="H4" s="953">
        <f>VLOOKUP("Min Green",Data!$A$1487:$AT$1498,8,FALSE)</f>
        <v>0</v>
      </c>
      <c r="I4" s="953">
        <f>VLOOKUP("Min Green",Data!$A$1487:$AT$1498,9,FALSE)</f>
        <v>0</v>
      </c>
      <c r="J4" s="97"/>
      <c r="K4" s="198" t="s">
        <v>173</v>
      </c>
      <c r="L4" s="849" t="str">
        <f>IF(VLOOKUP("Lock Call",Data!$A$1362:$I$1362,2,FALSE)="On","X","-")</f>
        <v>-</v>
      </c>
      <c r="M4" s="850" t="str">
        <f>IF(VLOOKUP("Lock Call",Data!$A$1362:$I$1362,3,FALSE)="On","X","-")</f>
        <v>-</v>
      </c>
      <c r="N4" s="851" t="str">
        <f>IF(VLOOKUP("Lock Call",Data!$A$1362:$I$1362,4,FALSE)="On","X","-")</f>
        <v>-</v>
      </c>
      <c r="O4" s="850" t="str">
        <f>IF(VLOOKUP("Lock Call",Data!$A$1362:$I$1362,5,FALSE)="On","X","-")</f>
        <v>-</v>
      </c>
      <c r="P4" s="851" t="str">
        <f>IF(VLOOKUP("Lock Call",Data!$A$1362:$I$1362,6,FALSE)="On","X","-")</f>
        <v>-</v>
      </c>
      <c r="Q4" s="850" t="str">
        <f>IF(VLOOKUP("Lock Call",Data!$A$1362:$I$1362,7,FALSE)="On","X","-")</f>
        <v>-</v>
      </c>
      <c r="R4" s="851" t="str">
        <f>IF(VLOOKUP("Lock Call",Data!$A$1362:$I$1362,8,FALSE)="On","X","-")</f>
        <v>-</v>
      </c>
      <c r="S4" s="859" t="str">
        <f>IF(VLOOKUP("Lock Call",Data!$A$1362:$I$1362,9,FALSE)="On","X","-")</f>
        <v>-</v>
      </c>
      <c r="T4" s="302">
        <v>1</v>
      </c>
      <c r="U4" s="874">
        <f>VLOOKUP("Ph Opt Table",Data!$A:$AW,2,FALSE)</f>
        <v>0</v>
      </c>
      <c r="V4" s="1270">
        <f>VLOOKUP("Ph Time Table",Data!$A:$AW,2,FALSE)</f>
        <v>0</v>
      </c>
      <c r="W4" s="875">
        <f>VLOOKUP("Det Grp",Data!$A:$AW,2,FALSE)</f>
        <v>0</v>
      </c>
      <c r="X4" s="876">
        <f>VLOOKUP("Call Inh",Data!$A:$AW,2,FALSE)</f>
        <v>0</v>
      </c>
      <c r="Y4" s="882" t="str">
        <f>IF(VLOOKUP("Olp Off 1",Data!$A:$AW,2,FALSE)="On", "X", " ")</f>
        <v xml:space="preserve"> </v>
      </c>
      <c r="Z4" s="883" t="str">
        <f>IF(VLOOKUP("Olp Off 2",Data!$A:$AW,2,FALSE)="On", "X", " ")</f>
        <v xml:space="preserve"> </v>
      </c>
      <c r="AA4" s="883" t="str">
        <f>IF(VLOOKUP("Olp Off 3",Data!$A:$AW,2,FALSE)="On", "X", " ")</f>
        <v xml:space="preserve"> </v>
      </c>
      <c r="AB4" s="883" t="str">
        <f>IF(VLOOKUP("Olp Off 4",Data!$A:$AW,2,FALSE)="On", "X", " ")</f>
        <v xml:space="preserve"> </v>
      </c>
      <c r="AC4" s="883" t="str">
        <f>IF(VLOOKUP("Olp Off 5",Data!$A:$AW,2,FALSE)="On", "X", " ")</f>
        <v xml:space="preserve"> </v>
      </c>
      <c r="AD4" s="883" t="str">
        <f>IF(VLOOKUP("Olp Off 6",Data!$A:$AW,2,FALSE)="On", "X", " ")</f>
        <v xml:space="preserve"> </v>
      </c>
      <c r="AE4" s="883" t="str">
        <f>IF(VLOOKUP("Olp Off 7",Data!$A:$AW,2,FALSE)="On", "X", " ")</f>
        <v xml:space="preserve"> </v>
      </c>
      <c r="AF4" s="884" t="str">
        <f>IF(VLOOKUP("Olp Off 8",Data!$A:$AW,2,FALSE)="On", "X", " ")</f>
        <v xml:space="preserve"> </v>
      </c>
      <c r="AG4" s="894">
        <f>VLOOKUP("ASC",Data!$A:$AW,2,FALSE)</f>
        <v>0</v>
      </c>
      <c r="AH4" s="895" t="str">
        <f>VLOOKUP("CNA",Data!$A:$AW,2,FALSE)</f>
        <v>Off</v>
      </c>
      <c r="AI4" s="900" t="str">
        <f>IF(VLOOKUP("Max 2",Data!$A$1250:$AW$1283,2,FALSE)="On", "X", " ")</f>
        <v xml:space="preserve"> </v>
      </c>
      <c r="AJ4" s="901" t="str">
        <f>VLOOKUP("Dia Mode",Data!$A:$AW,2,FALSE)</f>
        <v>DFT</v>
      </c>
      <c r="AK4" s="82"/>
      <c r="AL4" s="82"/>
      <c r="AM4" s="82"/>
    </row>
    <row r="5" spans="1:39" s="91" customFormat="1" ht="12" customHeight="1">
      <c r="A5" s="99" t="s">
        <v>142</v>
      </c>
      <c r="B5" s="953">
        <f>VLOOKUP("Gap Ext",Data!$A$1487:$AT$1498,2,FALSE)</f>
        <v>0</v>
      </c>
      <c r="C5" s="953">
        <f>VLOOKUP("Gap Ext",Data!$A$1487:$AT$1498,3,FALSE)</f>
        <v>0</v>
      </c>
      <c r="D5" s="953">
        <f>VLOOKUP("Gap Ext",Data!$A$1487:$AT$1498,4,FALSE)</f>
        <v>0</v>
      </c>
      <c r="E5" s="953">
        <f>VLOOKUP("Gap Ext",Data!$A$1487:$AT$1498,5,FALSE)</f>
        <v>0</v>
      </c>
      <c r="F5" s="953">
        <f>VLOOKUP("Gap Ext",Data!$A$1487:$AT$1498,6,FALSE)</f>
        <v>0</v>
      </c>
      <c r="G5" s="953">
        <f>VLOOKUP("Gap Ext",Data!$A$1487:$AT$1498,7,FALSE)</f>
        <v>0</v>
      </c>
      <c r="H5" s="953">
        <f>VLOOKUP("Gap Ext",Data!$A$1487:$AT$1498,8,FALSE)</f>
        <v>0</v>
      </c>
      <c r="I5" s="953">
        <f>VLOOKUP("Gap Ext",Data!$A$1487:$AT$1498,9,FALSE)</f>
        <v>0</v>
      </c>
      <c r="J5" s="97"/>
      <c r="K5" s="198" t="s">
        <v>123</v>
      </c>
      <c r="L5" s="849" t="str">
        <f>IF(VLOOKUP("Soft ReCall",Data!$A$1371:$I$1371,2,FALSE)="On","X","-")</f>
        <v>-</v>
      </c>
      <c r="M5" s="850" t="str">
        <f>IF(VLOOKUP("Soft ReCall",Data!$A$1371:$I$1371,3,FALSE)="On","X","-")</f>
        <v>-</v>
      </c>
      <c r="N5" s="851" t="str">
        <f>IF(VLOOKUP("Soft ReCall",Data!$A$1371:$I$1371,4,FALSE)="On","X","-")</f>
        <v>-</v>
      </c>
      <c r="O5" s="850" t="str">
        <f>IF(VLOOKUP("Soft ReCall",Data!$A$1371:$I$1371,5,FALSE)="On","X","-")</f>
        <v>-</v>
      </c>
      <c r="P5" s="851" t="str">
        <f>IF(VLOOKUP("Soft ReCall",Data!$A$1371:$I$1371,6,FALSE)="On","X","-")</f>
        <v>-</v>
      </c>
      <c r="Q5" s="850" t="str">
        <f>IF(VLOOKUP("Soft ReCall",Data!$A$1371:$I$1371,7,FALSE)="On","X","-")</f>
        <v>-</v>
      </c>
      <c r="R5" s="851" t="str">
        <f>IF(VLOOKUP("Soft ReCall",Data!$A$1371:$I$1371,8,FALSE)="On","X","-")</f>
        <v>-</v>
      </c>
      <c r="S5" s="859" t="str">
        <f>IF(VLOOKUP("Soft ReCall",Data!$A$1371:$I$1371,9,FALSE)="On","X","-")</f>
        <v>-</v>
      </c>
      <c r="T5" s="303">
        <v>2</v>
      </c>
      <c r="U5" s="878">
        <f>VLOOKUP("Ph Opt Table",Data!$A:$AW,3,FALSE)</f>
        <v>0</v>
      </c>
      <c r="V5" s="690">
        <f>VLOOKUP("Ph Time Table",Data!$A:$AW,3,FALSE)</f>
        <v>0</v>
      </c>
      <c r="W5" s="690">
        <f>VLOOKUP("Det Grp",Data!$A:$AW,3,FALSE)</f>
        <v>0</v>
      </c>
      <c r="X5" s="691">
        <f>VLOOKUP("Call Inh",Data!$A:$AW,3,FALSE)</f>
        <v>0</v>
      </c>
      <c r="Y5" s="885" t="str">
        <f>IF(VLOOKUP("Olp Off 1",Data!$A:$AW,3,FALSE)="On", "X", " ")</f>
        <v xml:space="preserve"> </v>
      </c>
      <c r="Z5" s="886" t="str">
        <f>IF(VLOOKUP("Olp Off 2",Data!$A:$AW,3,FALSE)="On", "X", " ")</f>
        <v xml:space="preserve"> </v>
      </c>
      <c r="AA5" s="886" t="str">
        <f>IF(VLOOKUP("Olp Off 3",Data!$A:$AW,3,FALSE)="On", "X", " ")</f>
        <v xml:space="preserve"> </v>
      </c>
      <c r="AB5" s="886" t="str">
        <f>IF(VLOOKUP("Olp Off 4",Data!$A:$AW,3,FALSE)="On", "X", " ")</f>
        <v xml:space="preserve"> </v>
      </c>
      <c r="AC5" s="886" t="str">
        <f>IF(VLOOKUP("Olp Off 5",Data!$A:$AW,3,FALSE)="On", "X", " ")</f>
        <v xml:space="preserve"> </v>
      </c>
      <c r="AD5" s="886" t="str">
        <f>IF(VLOOKUP("Olp Off 6",Data!$A:$AW,3,FALSE)="On", "X", " ")</f>
        <v xml:space="preserve"> </v>
      </c>
      <c r="AE5" s="886" t="str">
        <f>IF(VLOOKUP("Olp Off 7",Data!$A:$AW,3,FALSE)="On", "X", " ")</f>
        <v xml:space="preserve"> </v>
      </c>
      <c r="AF5" s="887" t="str">
        <f>IF(VLOOKUP("Olp Off 8",Data!$A:$AW,3,FALSE)="On", "X", " ")</f>
        <v xml:space="preserve"> </v>
      </c>
      <c r="AG5" s="896">
        <f>VLOOKUP("ASC",Data!$A:$AW,3,FALSE)</f>
        <v>0</v>
      </c>
      <c r="AH5" s="897" t="str">
        <f>VLOOKUP("CNA",Data!$A:$AW,3,FALSE)</f>
        <v>Off</v>
      </c>
      <c r="AI5" s="904" t="str">
        <f>IF(VLOOKUP("Max 2",Data!$A$1250:$AW$1283,3,FALSE)="On", "X", " ")</f>
        <v xml:space="preserve"> </v>
      </c>
      <c r="AJ5" s="905" t="str">
        <f>VLOOKUP("Dia Mode",Data!$A:$AW,3,FALSE)</f>
        <v>DFT</v>
      </c>
      <c r="AK5" s="82"/>
      <c r="AL5" s="82"/>
      <c r="AM5" s="82"/>
    </row>
    <row r="6" spans="1:39" s="91" customFormat="1" ht="12" customHeight="1">
      <c r="A6" s="99" t="s">
        <v>38</v>
      </c>
      <c r="B6" s="953">
        <f>VLOOKUP("Max1",Data!$A$1487:$AT$1498,2,FALSE)</f>
        <v>0</v>
      </c>
      <c r="C6" s="953">
        <f>VLOOKUP("Max1",Data!$A$1487:$AT$1498,3,FALSE)</f>
        <v>0</v>
      </c>
      <c r="D6" s="953">
        <f>VLOOKUP("Max1",Data!$A$1487:$AT$1498,4,FALSE)</f>
        <v>0</v>
      </c>
      <c r="E6" s="953">
        <f>VLOOKUP("Max1",Data!$A$1487:$AT$1498,5,FALSE)</f>
        <v>0</v>
      </c>
      <c r="F6" s="953">
        <f>VLOOKUP("Max1",Data!$A$1487:$AT$1498,6,FALSE)</f>
        <v>0</v>
      </c>
      <c r="G6" s="953">
        <f>VLOOKUP("Max1",Data!$A$1487:$AT$1498,7,FALSE)</f>
        <v>0</v>
      </c>
      <c r="H6" s="953">
        <f>VLOOKUP("Max1",Data!$A$1487:$AT$1498,8,FALSE)</f>
        <v>0</v>
      </c>
      <c r="I6" s="953">
        <f>VLOOKUP("Max1",Data!$A$1487:$AT$1498,9,FALSE)</f>
        <v>0</v>
      </c>
      <c r="J6" s="97"/>
      <c r="K6" s="198" t="s">
        <v>325</v>
      </c>
      <c r="L6" s="849" t="str">
        <f>IF(VLOOKUP("Dual Entry",Data!$A$1360:$I$1360,2,FALSE)="On","X","-")</f>
        <v>-</v>
      </c>
      <c r="M6" s="850" t="str">
        <f>IF(VLOOKUP("Dual Entry",Data!$A$1360:$I$1360,3,FALSE)="On","X","-")</f>
        <v>-</v>
      </c>
      <c r="N6" s="851" t="str">
        <f>IF(VLOOKUP("Dual Entry",Data!$A$1360:$I$1360,4,FALSE)="On","X","-")</f>
        <v>-</v>
      </c>
      <c r="O6" s="850" t="str">
        <f>IF(VLOOKUP("Dual Entry",Data!$A$1360:$I$1360,5,FALSE)="On","X","-")</f>
        <v>-</v>
      </c>
      <c r="P6" s="851" t="str">
        <f>IF(VLOOKUP("Dual Entry",Data!$A$1360:$I$1360,6,FALSE)="On","X","-")</f>
        <v>-</v>
      </c>
      <c r="Q6" s="850" t="str">
        <f>IF(VLOOKUP("Dual Entry",Data!$A$1360:$I$1360,7,FALSE)="On","X","-")</f>
        <v>-</v>
      </c>
      <c r="R6" s="851" t="str">
        <f>IF(VLOOKUP("Dual Entry",Data!$A$1360:$I$1360,8,FALSE)="On","X","-")</f>
        <v>-</v>
      </c>
      <c r="S6" s="859" t="str">
        <f>IF(VLOOKUP("Dual Entry",Data!$A$1360:$I$1360,9,FALSE)="On","X","-")</f>
        <v>-</v>
      </c>
      <c r="T6" s="302">
        <v>3</v>
      </c>
      <c r="U6" s="877">
        <f>VLOOKUP("Ph Opt Table",Data!$A:$AW,4,FALSE)</f>
        <v>0</v>
      </c>
      <c r="V6" s="693">
        <f>VLOOKUP("Ph Time Table",Data!$A:$AW,4,FALSE)</f>
        <v>0</v>
      </c>
      <c r="W6" s="693">
        <f>VLOOKUP("Det Grp",Data!$A:$AW,4,FALSE)</f>
        <v>0</v>
      </c>
      <c r="X6" s="694">
        <f>VLOOKUP("Call Inh",Data!$A:$AW,4,FALSE)</f>
        <v>0</v>
      </c>
      <c r="Y6" s="885" t="str">
        <f>IF(VLOOKUP("Olp Off 1",Data!$A:$AW,4,FALSE)="On", "X", " ")</f>
        <v xml:space="preserve"> </v>
      </c>
      <c r="Z6" s="886" t="str">
        <f>IF(VLOOKUP("Olp Off 2",Data!$A:$AW,4,FALSE)="On", "X", " ")</f>
        <v xml:space="preserve"> </v>
      </c>
      <c r="AA6" s="886" t="str">
        <f>IF(VLOOKUP("Olp Off 3",Data!$A:$AW,4,FALSE)="On", "X", " ")</f>
        <v xml:space="preserve"> </v>
      </c>
      <c r="AB6" s="886" t="str">
        <f>IF(VLOOKUP("Olp Off 4",Data!$A:$AW,4,FALSE)="On", "X", " ")</f>
        <v xml:space="preserve"> </v>
      </c>
      <c r="AC6" s="886" t="str">
        <f>IF(VLOOKUP("Olp Off 5",Data!$A:$AW,4,FALSE)="On", "X", " ")</f>
        <v xml:space="preserve"> </v>
      </c>
      <c r="AD6" s="886" t="str">
        <f>IF(VLOOKUP("Olp Off 6",Data!$A:$AW,4,FALSE)="On", "X", " ")</f>
        <v xml:space="preserve"> </v>
      </c>
      <c r="AE6" s="886" t="str">
        <f>IF(VLOOKUP("Olp Off 7",Data!$A:$AW,4,FALSE)="On", "X", " ")</f>
        <v xml:space="preserve"> </v>
      </c>
      <c r="AF6" s="887" t="str">
        <f>IF(VLOOKUP("Olp Off 8",Data!$A:$AW,4,FALSE)="On", "X", " ")</f>
        <v xml:space="preserve"> </v>
      </c>
      <c r="AG6" s="896">
        <f>VLOOKUP("ASC",Data!$A:$AW,4,FALSE)</f>
        <v>0</v>
      </c>
      <c r="AH6" s="897" t="str">
        <f>VLOOKUP("CNA",Data!$A:$AW,4,FALSE)</f>
        <v>Off</v>
      </c>
      <c r="AI6" s="902" t="str">
        <f>IF(VLOOKUP("Max 2",Data!$A$1250:$AW$1283,4,FALSE)="On", "X", " ")</f>
        <v xml:space="preserve"> </v>
      </c>
      <c r="AJ6" s="903" t="str">
        <f>VLOOKUP("Dia Mode",Data!$A:$AW,4,FALSE)</f>
        <v>DFT</v>
      </c>
      <c r="AK6" s="82"/>
      <c r="AL6" s="82"/>
      <c r="AM6" s="82"/>
    </row>
    <row r="7" spans="1:39" s="91" customFormat="1" ht="12" customHeight="1">
      <c r="A7" s="99" t="s">
        <v>39</v>
      </c>
      <c r="B7" s="953">
        <f>VLOOKUP("Max2",Data!$A$1487:$AT$1498,2,FALSE)</f>
        <v>0</v>
      </c>
      <c r="C7" s="953">
        <f>VLOOKUP("Max2",Data!$A$1487:$AT$1498,3,FALSE)</f>
        <v>0</v>
      </c>
      <c r="D7" s="953">
        <f>VLOOKUP("Max2",Data!$A$1487:$AT$1498,4,FALSE)</f>
        <v>0</v>
      </c>
      <c r="E7" s="953">
        <f>VLOOKUP("Max2",Data!$A$1487:$AT$1498,5,FALSE)</f>
        <v>0</v>
      </c>
      <c r="F7" s="953">
        <f>VLOOKUP("Max2",Data!$A$1487:$AT$1498,6,FALSE)</f>
        <v>0</v>
      </c>
      <c r="G7" s="953">
        <f>VLOOKUP("Max2",Data!$A$1487:$AT$1498,7,FALSE)</f>
        <v>0</v>
      </c>
      <c r="H7" s="953">
        <f>VLOOKUP("Max2",Data!$A$1487:$AT$1498,8,FALSE)</f>
        <v>0</v>
      </c>
      <c r="I7" s="953">
        <f>VLOOKUP("Max2",Data!$A$1487:$AT$1498,9,FALSE)</f>
        <v>0</v>
      </c>
      <c r="J7" s="97"/>
      <c r="K7" s="198" t="s">
        <v>326</v>
      </c>
      <c r="L7" s="849" t="str">
        <f>IF(VLOOKUP("Sim Gap Enable",Data!$A$1370:$I$1370,2,FALSE)="On","X","-")</f>
        <v>-</v>
      </c>
      <c r="M7" s="850" t="str">
        <f>IF(VLOOKUP("Sim Gap Enable",Data!$A$1370:$I$1370,3,FALSE)="On","X","-")</f>
        <v>-</v>
      </c>
      <c r="N7" s="851" t="str">
        <f>IF(VLOOKUP("Sim Gap Enable",Data!$A$1370:$I$1370,4,FALSE)="On","X","-")</f>
        <v>-</v>
      </c>
      <c r="O7" s="850" t="str">
        <f>IF(VLOOKUP("Sim Gap Enable",Data!$A$1370:$I$1370,5,FALSE)="On","X","-")</f>
        <v>-</v>
      </c>
      <c r="P7" s="851" t="str">
        <f>IF(VLOOKUP("Sim Gap Enable",Data!$A$1370:$I$1370,6,FALSE)="On","X","-")</f>
        <v>-</v>
      </c>
      <c r="Q7" s="850" t="str">
        <f>IF(VLOOKUP("Sim Gap Enable",Data!$A$1370:$I$1370,7,FALSE)="On","X","-")</f>
        <v>-</v>
      </c>
      <c r="R7" s="851" t="str">
        <f>IF(VLOOKUP("Sim Gap Enable",Data!$A$1370:$I$1370,8,FALSE)="On","X","-")</f>
        <v>-</v>
      </c>
      <c r="S7" s="859" t="str">
        <f>IF(VLOOKUP("Sim Gap Enable",Data!$A$1370:$I$1370,9,FALSE)="On","X","-")</f>
        <v>-</v>
      </c>
      <c r="T7" s="303">
        <v>4</v>
      </c>
      <c r="U7" s="878">
        <f>VLOOKUP("Ph Opt Table",Data!$A:$AW,5,FALSE)</f>
        <v>0</v>
      </c>
      <c r="V7" s="690">
        <f>VLOOKUP("Ph Time Table",Data!$A:$AW,5,FALSE)</f>
        <v>0</v>
      </c>
      <c r="W7" s="690">
        <f>VLOOKUP("Det Grp",Data!$A:$AW,5,FALSE)</f>
        <v>0</v>
      </c>
      <c r="X7" s="691">
        <f>VLOOKUP("Call Inh",Data!$A:$AW,5,FALSE)</f>
        <v>0</v>
      </c>
      <c r="Y7" s="885" t="str">
        <f>IF(VLOOKUP("Olp Off 1",Data!$A:$AW,5,FALSE)="On", "X", " ")</f>
        <v xml:space="preserve"> </v>
      </c>
      <c r="Z7" s="886" t="str">
        <f>IF(VLOOKUP("Olp Off 2",Data!$A:$AW,5,FALSE)="On", "X", " ")</f>
        <v xml:space="preserve"> </v>
      </c>
      <c r="AA7" s="886" t="str">
        <f>IF(VLOOKUP("Olp Off 3",Data!$A:$AW,5,FALSE)="On", "X", " ")</f>
        <v xml:space="preserve"> </v>
      </c>
      <c r="AB7" s="886" t="str">
        <f>IF(VLOOKUP("Olp Off 4",Data!$A:$AW,5,FALSE)="On", "X", " ")</f>
        <v xml:space="preserve"> </v>
      </c>
      <c r="AC7" s="886" t="str">
        <f>IF(VLOOKUP("Olp Off 5",Data!$A:$AW,5,FALSE)="On", "X", " ")</f>
        <v xml:space="preserve"> </v>
      </c>
      <c r="AD7" s="886" t="str">
        <f>IF(VLOOKUP("Olp Off 6",Data!$A:$AW,5,FALSE)="On", "X", " ")</f>
        <v xml:space="preserve"> </v>
      </c>
      <c r="AE7" s="886" t="str">
        <f>IF(VLOOKUP("Olp Off 7",Data!$A:$AW,5,FALSE)="On", "X", " ")</f>
        <v xml:space="preserve"> </v>
      </c>
      <c r="AF7" s="887" t="str">
        <f>IF(VLOOKUP("Olp Off 8",Data!$A:$AW,5,FALSE)="On", "X", " ")</f>
        <v xml:space="preserve"> </v>
      </c>
      <c r="AG7" s="896">
        <f>VLOOKUP("ASC",Data!$A:$AW,5,FALSE)</f>
        <v>0</v>
      </c>
      <c r="AH7" s="897" t="str">
        <f>VLOOKUP("CNA",Data!$A:$AW,5,FALSE)</f>
        <v>Off</v>
      </c>
      <c r="AI7" s="904" t="str">
        <f>IF(VLOOKUP("Max 2",Data!$A$1250:$AW$1283,5,FALSE)="On", "X", " ")</f>
        <v xml:space="preserve"> </v>
      </c>
      <c r="AJ7" s="905" t="str">
        <f>VLOOKUP("Dia Mode",Data!$A:$AW,5,FALSE)</f>
        <v>DFT</v>
      </c>
      <c r="AK7" s="82"/>
      <c r="AL7" s="82"/>
      <c r="AM7" s="82"/>
    </row>
    <row r="8" spans="1:39" s="91" customFormat="1" ht="12" customHeight="1">
      <c r="A8" s="99" t="s">
        <v>40</v>
      </c>
      <c r="B8" s="953">
        <f>VLOOKUP("Yellow Clr",Data!$A$1487:$AT$1498,2,FALSE)</f>
        <v>0</v>
      </c>
      <c r="C8" s="953">
        <f>VLOOKUP("Yellow Clr",Data!$A$1487:$AT$1498,3,FALSE)</f>
        <v>0</v>
      </c>
      <c r="D8" s="953">
        <f>VLOOKUP("Yellow Clr",Data!$A$1487:$AT$1498,4,FALSE)</f>
        <v>0</v>
      </c>
      <c r="E8" s="953">
        <f>VLOOKUP("Yellow Clr",Data!$A$1487:$AT$1498,5,FALSE)</f>
        <v>0</v>
      </c>
      <c r="F8" s="953">
        <f>VLOOKUP("Yellow Clr",Data!$A$1487:$AT$1498,6,FALSE)</f>
        <v>0</v>
      </c>
      <c r="G8" s="953">
        <f>VLOOKUP("Yellow Clr",Data!$A$1487:$AT$1498,7,FALSE)</f>
        <v>0</v>
      </c>
      <c r="H8" s="953">
        <f>VLOOKUP("Yellow Clr",Data!$A$1487:$AT$1498,8,FALSE)</f>
        <v>0</v>
      </c>
      <c r="I8" s="953">
        <f>VLOOKUP("Yellow Clr",Data!$A$1487:$AT$1498,9,FALSE)</f>
        <v>0</v>
      </c>
      <c r="J8" s="97"/>
      <c r="K8" s="198" t="s">
        <v>327</v>
      </c>
      <c r="L8" s="849" t="str">
        <f>IF(VLOOKUP("Guar Passage",Data!$A$1361:$I$1361,2,FALSE)="On","X","-")</f>
        <v>-</v>
      </c>
      <c r="M8" s="850" t="str">
        <f>IF(VLOOKUP("Guar Passage",Data!$A$1361:$I$1361,3,FALSE)="On","X","-")</f>
        <v>-</v>
      </c>
      <c r="N8" s="851" t="str">
        <f>IF(VLOOKUP("Guar Passage",Data!$A$1361:$I$1361,4,FALSE)="On","X","-")</f>
        <v>-</v>
      </c>
      <c r="O8" s="850" t="str">
        <f>IF(VLOOKUP("Guar Passage",Data!$A$1361:$I$1361,5,FALSE)="On","X","-")</f>
        <v>-</v>
      </c>
      <c r="P8" s="851" t="str">
        <f>IF(VLOOKUP("Guar Passage",Data!$A$1361:$I$1361,6,FALSE)="On","X","-")</f>
        <v>-</v>
      </c>
      <c r="Q8" s="850" t="str">
        <f>IF(VLOOKUP("Guar Passage",Data!$A$1361:$I$1361,7,FALSE)="On","X","-")</f>
        <v>-</v>
      </c>
      <c r="R8" s="851" t="str">
        <f>IF(VLOOKUP("Guar Passage",Data!$A$1361:$I$1361,8,FALSE)="On","X","-")</f>
        <v>-</v>
      </c>
      <c r="S8" s="859" t="str">
        <f>IF(VLOOKUP("Guar Passage",Data!$A$1361:$I$1361,9,FALSE)="On","X","-")</f>
        <v>-</v>
      </c>
      <c r="T8" s="302">
        <v>5</v>
      </c>
      <c r="U8" s="877">
        <f>VLOOKUP("Ph Opt Table",Data!$A:$AW,6,FALSE)</f>
        <v>0</v>
      </c>
      <c r="V8" s="693">
        <f>VLOOKUP("Ph Time Table",Data!$A:$AW,6,FALSE)</f>
        <v>0</v>
      </c>
      <c r="W8" s="693">
        <f>VLOOKUP("Det Grp",Data!$A:$AW,6,FALSE)</f>
        <v>0</v>
      </c>
      <c r="X8" s="694">
        <f>VLOOKUP("Call Inh",Data!$A:$AW,6,FALSE)</f>
        <v>0</v>
      </c>
      <c r="Y8" s="885" t="str">
        <f>IF(VLOOKUP("Olp Off 1",Data!$A:$AW,6,FALSE)="On", "X", " ")</f>
        <v xml:space="preserve"> </v>
      </c>
      <c r="Z8" s="886" t="str">
        <f>IF(VLOOKUP("Olp Off 2",Data!$A:$AW,6,FALSE)="On", "X", " ")</f>
        <v xml:space="preserve"> </v>
      </c>
      <c r="AA8" s="886" t="str">
        <f>IF(VLOOKUP("Olp Off 3",Data!$A:$AW,6,FALSE)="On", "X", " ")</f>
        <v xml:space="preserve"> </v>
      </c>
      <c r="AB8" s="886" t="str">
        <f>IF(VLOOKUP("Olp Off 4",Data!$A:$AW,6,FALSE)="On", "X", " ")</f>
        <v xml:space="preserve"> </v>
      </c>
      <c r="AC8" s="886" t="str">
        <f>IF(VLOOKUP("Olp Off 5",Data!$A:$AW,6,FALSE)="On", "X", " ")</f>
        <v xml:space="preserve"> </v>
      </c>
      <c r="AD8" s="886" t="str">
        <f>IF(VLOOKUP("Olp Off 6",Data!$A:$AW,6,FALSE)="On", "X", " ")</f>
        <v xml:space="preserve"> </v>
      </c>
      <c r="AE8" s="886" t="str">
        <f>IF(VLOOKUP("Olp Off 7",Data!$A:$AW,6,FALSE)="On", "X", " ")</f>
        <v xml:space="preserve"> </v>
      </c>
      <c r="AF8" s="887" t="str">
        <f>IF(VLOOKUP("Olp Off 8",Data!$A:$AW,6,FALSE)="On", "X", " ")</f>
        <v xml:space="preserve"> </v>
      </c>
      <c r="AG8" s="896">
        <f>VLOOKUP("ASC",Data!$A:$AW,6,FALSE)</f>
        <v>0</v>
      </c>
      <c r="AH8" s="897" t="str">
        <f>VLOOKUP("CNA",Data!$A:$AW,6,FALSE)</f>
        <v>Off</v>
      </c>
      <c r="AI8" s="902" t="str">
        <f>IF(VLOOKUP("Max 2",Data!$A$1250:$AW$1283,6,FALSE)="On", "X", " ")</f>
        <v xml:space="preserve"> </v>
      </c>
      <c r="AJ8" s="903" t="str">
        <f>VLOOKUP("Dia Mode",Data!$A:$AW,6,FALSE)</f>
        <v>DFT</v>
      </c>
      <c r="AK8" s="82"/>
      <c r="AL8" s="82"/>
      <c r="AM8" s="82"/>
    </row>
    <row r="9" spans="1:39" s="91" customFormat="1" ht="12" customHeight="1">
      <c r="A9" s="99" t="s">
        <v>41</v>
      </c>
      <c r="B9" s="953">
        <f>VLOOKUP("Red Clr",Data!$A$1487:$AT$1498,2,FALSE)</f>
        <v>0</v>
      </c>
      <c r="C9" s="953">
        <f>VLOOKUP("Red Clr",Data!$A$1487:$AT$1498,3,FALSE)</f>
        <v>0</v>
      </c>
      <c r="D9" s="953">
        <f>VLOOKUP("Red Clr",Data!$A$1487:$AT$1498,4,FALSE)</f>
        <v>0</v>
      </c>
      <c r="E9" s="953">
        <f>VLOOKUP("Red Clr",Data!$A$1487:$AT$1498,5,FALSE)</f>
        <v>0</v>
      </c>
      <c r="F9" s="953">
        <f>VLOOKUP("Red Clr",Data!$A$1487:$AT$1498,6,FALSE)</f>
        <v>0</v>
      </c>
      <c r="G9" s="953">
        <f>VLOOKUP("Red Clr",Data!$A$1487:$AT$1498,7,FALSE)</f>
        <v>0</v>
      </c>
      <c r="H9" s="953">
        <f>VLOOKUP("Red Clr",Data!$A$1487:$AT$1498,8,FALSE)</f>
        <v>0</v>
      </c>
      <c r="I9" s="953">
        <f>VLOOKUP("Red Clr",Data!$A$1487:$AT$1498,9,FALSE)</f>
        <v>0</v>
      </c>
      <c r="J9" s="97"/>
      <c r="K9" s="198" t="s">
        <v>121</v>
      </c>
      <c r="L9" s="849" t="str">
        <f>IF(VLOOKUP("Rest In Walk",Data!$A$1369:$I$1369,2,FALSE)="On","X","-")</f>
        <v>-</v>
      </c>
      <c r="M9" s="850" t="str">
        <f>IF(VLOOKUP("Rest In Walk",Data!$A$1369:$I$1369,3,FALSE)="On","X","-")</f>
        <v>-</v>
      </c>
      <c r="N9" s="851" t="str">
        <f>IF(VLOOKUP("Rest In Walk",Data!$A$1369:$I$1369,4,FALSE)="On","X","-")</f>
        <v>-</v>
      </c>
      <c r="O9" s="850" t="str">
        <f>IF(VLOOKUP("Rest In Walk",Data!$A$1369:$I$1369,5,FALSE)="On","X","-")</f>
        <v>-</v>
      </c>
      <c r="P9" s="851" t="str">
        <f>IF(VLOOKUP("Rest In Walk",Data!$A$1369:$I$1369,6,FALSE)="On","X","-")</f>
        <v>-</v>
      </c>
      <c r="Q9" s="850" t="str">
        <f>IF(VLOOKUP("Rest In Walk",Data!$A$1369:$I$1369,7,FALSE)="On","X","-")</f>
        <v>-</v>
      </c>
      <c r="R9" s="851" t="str">
        <f>IF(VLOOKUP("Rest In Walk",Data!$A$1369:$I$1369,8,FALSE)="On","X","-")</f>
        <v>-</v>
      </c>
      <c r="S9" s="859" t="str">
        <f>IF(VLOOKUP("Rest In Walk",Data!$A$1369:$I$1369,9,FALSE)="On","X","-")</f>
        <v>-</v>
      </c>
      <c r="T9" s="303">
        <v>6</v>
      </c>
      <c r="U9" s="878">
        <f>VLOOKUP("Ph Opt Table",Data!$A:$AW,7,FALSE)</f>
        <v>0</v>
      </c>
      <c r="V9" s="690">
        <f>VLOOKUP("Ph Time Table",Data!$A:$AW,7,FALSE)</f>
        <v>0</v>
      </c>
      <c r="W9" s="690">
        <f>VLOOKUP("Det Grp",Data!$A:$AW,7,FALSE)</f>
        <v>0</v>
      </c>
      <c r="X9" s="691">
        <f>VLOOKUP("Call Inh",Data!$A:$AW,7,FALSE)</f>
        <v>0</v>
      </c>
      <c r="Y9" s="885" t="str">
        <f>IF(VLOOKUP("Olp Off 1",Data!$A:$AW,7,FALSE)="On", "X", " ")</f>
        <v xml:space="preserve"> </v>
      </c>
      <c r="Z9" s="886" t="str">
        <f>IF(VLOOKUP("Olp Off 2",Data!$A:$AW,7,FALSE)="On", "X", " ")</f>
        <v xml:space="preserve"> </v>
      </c>
      <c r="AA9" s="886" t="str">
        <f>IF(VLOOKUP("Olp Off 3",Data!$A:$AW,7,FALSE)="On", "X", " ")</f>
        <v xml:space="preserve"> </v>
      </c>
      <c r="AB9" s="886" t="str">
        <f>IF(VLOOKUP("Olp Off 4",Data!$A:$AW,7,FALSE)="On", "X", " ")</f>
        <v xml:space="preserve"> </v>
      </c>
      <c r="AC9" s="886" t="str">
        <f>IF(VLOOKUP("Olp Off 5",Data!$A:$AW,7,FALSE)="On", "X", " ")</f>
        <v xml:space="preserve"> </v>
      </c>
      <c r="AD9" s="886" t="str">
        <f>IF(VLOOKUP("Olp Off 6",Data!$A:$AW,7,FALSE)="On", "X", " ")</f>
        <v xml:space="preserve"> </v>
      </c>
      <c r="AE9" s="886" t="str">
        <f>IF(VLOOKUP("Olp Off 7",Data!$A:$AW,7,FALSE)="On", "X", " ")</f>
        <v xml:space="preserve"> </v>
      </c>
      <c r="AF9" s="887" t="str">
        <f>IF(VLOOKUP("Olp Off 8",Data!$A:$AW,7,FALSE)="On", "X", " ")</f>
        <v xml:space="preserve"> </v>
      </c>
      <c r="AG9" s="896">
        <f>VLOOKUP("ASC",Data!$A:$AW,7,FALSE)</f>
        <v>0</v>
      </c>
      <c r="AH9" s="897" t="str">
        <f>VLOOKUP("CNA",Data!$A:$AW,7,FALSE)</f>
        <v>Off</v>
      </c>
      <c r="AI9" s="904" t="str">
        <f>IF(VLOOKUP("Max 2",Data!$A$1250:$AW$1283,7,FALSE)="On", "X", " ")</f>
        <v xml:space="preserve"> </v>
      </c>
      <c r="AJ9" s="905" t="str">
        <f>VLOOKUP("Dia Mode",Data!$A:$AW,7,FALSE)</f>
        <v>DFT</v>
      </c>
      <c r="AK9" s="82"/>
      <c r="AL9" s="82"/>
      <c r="AM9" s="82"/>
    </row>
    <row r="10" spans="1:39" s="91" customFormat="1" ht="12" customHeight="1">
      <c r="A10" s="99" t="s">
        <v>42</v>
      </c>
      <c r="B10" s="953">
        <f>VLOOKUP("Walk",Data!$A$1487:$AT$1498,2,FALSE)</f>
        <v>0</v>
      </c>
      <c r="C10" s="953">
        <f>VLOOKUP("Walk",Data!$A$1487:$AT$1498,3,FALSE)</f>
        <v>0</v>
      </c>
      <c r="D10" s="953">
        <f>VLOOKUP("Walk",Data!$A$1487:$AT$1498,4,FALSE)</f>
        <v>0</v>
      </c>
      <c r="E10" s="953">
        <f>VLOOKUP("Walk",Data!$A$1487:$AT$1498,5,FALSE)</f>
        <v>0</v>
      </c>
      <c r="F10" s="953">
        <f>VLOOKUP("Walk",Data!$A$1487:$AT$1498,6,FALSE)</f>
        <v>0</v>
      </c>
      <c r="G10" s="953">
        <f>VLOOKUP("Walk",Data!$A$1487:$AT$1498,7,FALSE)</f>
        <v>0</v>
      </c>
      <c r="H10" s="953">
        <f>VLOOKUP("Walk",Data!$A$1487:$AT$1498,8,FALSE)</f>
        <v>0</v>
      </c>
      <c r="I10" s="953">
        <f>VLOOKUP("Walk",Data!$A$1487:$AT$1498,9,FALSE)</f>
        <v>0</v>
      </c>
      <c r="J10" s="97"/>
      <c r="K10" s="198" t="s">
        <v>111</v>
      </c>
      <c r="L10" s="849" t="str">
        <f>IF(VLOOKUP("Cond Service",Data!$A$1357:$I$1357,2,FALSE)="On","X","-")</f>
        <v>-</v>
      </c>
      <c r="M10" s="850" t="str">
        <f>IF(VLOOKUP("Cond Service",Data!$A$1357:$I$1357,3,FALSE)="On","X","-")</f>
        <v>-</v>
      </c>
      <c r="N10" s="851" t="str">
        <f>IF(VLOOKUP("Cond Service",Data!$A$1357:$I$1357,4,FALSE)="On","X","-")</f>
        <v>-</v>
      </c>
      <c r="O10" s="850" t="str">
        <f>IF(VLOOKUP("Cond Service",Data!$A$1357:$I$1357,5,FALSE)="On","X","-")</f>
        <v>-</v>
      </c>
      <c r="P10" s="851" t="str">
        <f>IF(VLOOKUP("Cond Service",Data!$A$1357:$I$1357,6,FALSE)="On","X","-")</f>
        <v>-</v>
      </c>
      <c r="Q10" s="850" t="str">
        <f>IF(VLOOKUP("Cond Service",Data!$A$1357:$I$1357,7,FALSE)="On","X","-")</f>
        <v>-</v>
      </c>
      <c r="R10" s="851" t="str">
        <f>IF(VLOOKUP("Cond Service",Data!$A$1357:$I$1357,8,FALSE)="On","X","-")</f>
        <v>-</v>
      </c>
      <c r="S10" s="859" t="str">
        <f>IF(VLOOKUP("Cond Service",Data!$A$1357:$I$1357,9,FALSE)="On","X","-")</f>
        <v>-</v>
      </c>
      <c r="T10" s="302">
        <v>7</v>
      </c>
      <c r="U10" s="877">
        <f>VLOOKUP("Ph Opt Table",Data!$A:$AW,8,FALSE)</f>
        <v>0</v>
      </c>
      <c r="V10" s="693">
        <f>VLOOKUP("Ph Time Table",Data!$A:$AW,8,FALSE)</f>
        <v>0</v>
      </c>
      <c r="W10" s="693">
        <f>VLOOKUP("Det Grp",Data!$A:$AW,8,FALSE)</f>
        <v>0</v>
      </c>
      <c r="X10" s="694">
        <f>VLOOKUP("Call Inh",Data!$A:$AW,8,FALSE)</f>
        <v>0</v>
      </c>
      <c r="Y10" s="885" t="str">
        <f>IF(VLOOKUP("Olp Off 1",Data!$A:$AW,8,FALSE)="On", "X", " ")</f>
        <v xml:space="preserve"> </v>
      </c>
      <c r="Z10" s="886" t="str">
        <f>IF(VLOOKUP("Olp Off 2",Data!$A:$AW,8,FALSE)="On", "X", " ")</f>
        <v xml:space="preserve"> </v>
      </c>
      <c r="AA10" s="886" t="str">
        <f>IF(VLOOKUP("Olp Off 3",Data!$A:$AW,8,FALSE)="On", "X", " ")</f>
        <v xml:space="preserve"> </v>
      </c>
      <c r="AB10" s="886" t="str">
        <f>IF(VLOOKUP("Olp Off 4",Data!$A:$AW,8,FALSE)="On", "X", " ")</f>
        <v xml:space="preserve"> </v>
      </c>
      <c r="AC10" s="886" t="str">
        <f>IF(VLOOKUP("Olp Off 5",Data!$A:$AW,8,FALSE)="On", "X", " ")</f>
        <v xml:space="preserve"> </v>
      </c>
      <c r="AD10" s="886" t="str">
        <f>IF(VLOOKUP("Olp Off 6",Data!$A:$AW,8,FALSE)="On", "X", " ")</f>
        <v xml:space="preserve"> </v>
      </c>
      <c r="AE10" s="886" t="str">
        <f>IF(VLOOKUP("Olp Off 7",Data!$A:$AW,8,FALSE)="On", "X", " ")</f>
        <v xml:space="preserve"> </v>
      </c>
      <c r="AF10" s="887" t="str">
        <f>IF(VLOOKUP("Olp Off 8",Data!$A:$AW,8,FALSE)="On", "X", " ")</f>
        <v xml:space="preserve"> </v>
      </c>
      <c r="AG10" s="896">
        <f>VLOOKUP("ASC",Data!$A:$AW,8,FALSE)</f>
        <v>0</v>
      </c>
      <c r="AH10" s="897" t="str">
        <f>VLOOKUP("CNA",Data!$A:$AW,8,FALSE)</f>
        <v>Off</v>
      </c>
      <c r="AI10" s="902" t="str">
        <f>IF(VLOOKUP("Max 2",Data!$A$1250:$AW$1283,8,FALSE)="On", "X", " ")</f>
        <v xml:space="preserve"> </v>
      </c>
      <c r="AJ10" s="903" t="str">
        <f>VLOOKUP("Dia Mode",Data!$A:$AW,8,FALSE)</f>
        <v>DFT</v>
      </c>
      <c r="AK10" s="82"/>
      <c r="AL10" s="82"/>
      <c r="AM10" s="82"/>
    </row>
    <row r="11" spans="1:39" s="91" customFormat="1" ht="12" customHeight="1">
      <c r="A11" s="99" t="s">
        <v>43</v>
      </c>
      <c r="B11" s="954">
        <f>VLOOKUP("Ped Clear",Data!$A$1487:$AT$1498,2,FALSE)</f>
        <v>0</v>
      </c>
      <c r="C11" s="954">
        <f>VLOOKUP("Ped Clear",Data!$A$1487:$AT$1498,3,FALSE)</f>
        <v>0</v>
      </c>
      <c r="D11" s="954">
        <f>VLOOKUP("Ped Clear",Data!$A$1487:$AT$1498,4,FALSE)</f>
        <v>0</v>
      </c>
      <c r="E11" s="954">
        <f>VLOOKUP("Ped Clear",Data!$A$1487:$AT$1498,5,FALSE)</f>
        <v>0</v>
      </c>
      <c r="F11" s="954">
        <f>VLOOKUP("Ped Clear",Data!$A$1487:$AT$1498,6,FALSE)</f>
        <v>0</v>
      </c>
      <c r="G11" s="954">
        <f>VLOOKUP("Ped Clear",Data!$A$1487:$AT$1498,7,FALSE)</f>
        <v>0</v>
      </c>
      <c r="H11" s="954">
        <f>VLOOKUP("Ped Clear",Data!$A$1487:$AT$1498,8,FALSE)</f>
        <v>0</v>
      </c>
      <c r="I11" s="954">
        <f>VLOOKUP("Ped Clear",Data!$A$1487:$AT$1498,9,FALSE)</f>
        <v>0</v>
      </c>
      <c r="J11" s="97"/>
      <c r="K11" s="198" t="s">
        <v>48</v>
      </c>
      <c r="L11" s="849" t="str">
        <f>IF(VLOOKUP("Reservice",Data!$A$1368:$I$1368,2,FALSE)="On","X","-")</f>
        <v>-</v>
      </c>
      <c r="M11" s="850" t="str">
        <f>IF(VLOOKUP("Reservice",Data!$A$1368:$I$1368,3,FALSE)="On","X","-")</f>
        <v>-</v>
      </c>
      <c r="N11" s="851" t="str">
        <f>IF(VLOOKUP("Reservice",Data!$A$1368:$I$1368,4,FALSE)="On","X","-")</f>
        <v>-</v>
      </c>
      <c r="O11" s="850" t="str">
        <f>IF(VLOOKUP("Reservice",Data!$A$1368:$I$1368,5,FALSE)="On","X","-")</f>
        <v>-</v>
      </c>
      <c r="P11" s="851" t="str">
        <f>IF(VLOOKUP("Reservice",Data!$A$1368:$I$1368,6,FALSE)="On","X","-")</f>
        <v>-</v>
      </c>
      <c r="Q11" s="850" t="str">
        <f>IF(VLOOKUP("Reservice",Data!$A$1368:$I$1368,7,FALSE)="On","X","-")</f>
        <v>-</v>
      </c>
      <c r="R11" s="851" t="str">
        <f>IF(VLOOKUP("Reservice",Data!$A$1368:$I$1368,8,FALSE)="On","X","-")</f>
        <v>-</v>
      </c>
      <c r="S11" s="859" t="str">
        <f>IF(VLOOKUP("Reservice",Data!$A$1368:$I$1368,9,FALSE)="On","X","-")</f>
        <v>-</v>
      </c>
      <c r="T11" s="303">
        <v>8</v>
      </c>
      <c r="U11" s="878">
        <f>VLOOKUP("Ph Opt Table",Data!$A:$AW,9,FALSE)</f>
        <v>0</v>
      </c>
      <c r="V11" s="690">
        <f>VLOOKUP("Ph Time Table",Data!$A:$AW,9,FALSE)</f>
        <v>0</v>
      </c>
      <c r="W11" s="690">
        <f>VLOOKUP("Det Grp",Data!$A:$AW,9,FALSE)</f>
        <v>0</v>
      </c>
      <c r="X11" s="691">
        <f>VLOOKUP("Call Inh",Data!$A:$AW,9,FALSE)</f>
        <v>0</v>
      </c>
      <c r="Y11" s="885" t="str">
        <f>IF(VLOOKUP("Olp Off 1",Data!$A:$AW,9,FALSE)="On", "X", " ")</f>
        <v xml:space="preserve"> </v>
      </c>
      <c r="Z11" s="886" t="str">
        <f>IF(VLOOKUP("Olp Off 2",Data!$A:$AW,9,FALSE)="On", "X", " ")</f>
        <v xml:space="preserve"> </v>
      </c>
      <c r="AA11" s="886" t="str">
        <f>IF(VLOOKUP("Olp Off 3",Data!$A:$AW,9,FALSE)="On", "X", " ")</f>
        <v xml:space="preserve"> </v>
      </c>
      <c r="AB11" s="886" t="str">
        <f>IF(VLOOKUP("Olp Off 4",Data!$A:$AW,9,FALSE)="On", "X", " ")</f>
        <v xml:space="preserve"> </v>
      </c>
      <c r="AC11" s="886" t="str">
        <f>IF(VLOOKUP("Olp Off 5",Data!$A:$AW,9,FALSE)="On", "X", " ")</f>
        <v xml:space="preserve"> </v>
      </c>
      <c r="AD11" s="886" t="str">
        <f>IF(VLOOKUP("Olp Off 6",Data!$A:$AW,9,FALSE)="On", "X", " ")</f>
        <v xml:space="preserve"> </v>
      </c>
      <c r="AE11" s="886" t="str">
        <f>IF(VLOOKUP("Olp Off 7",Data!$A:$AW,9,FALSE)="On", "X", " ")</f>
        <v xml:space="preserve"> </v>
      </c>
      <c r="AF11" s="887" t="str">
        <f>IF(VLOOKUP("Olp Off 8",Data!$A:$AW,9,FALSE)="On", "X", " ")</f>
        <v xml:space="preserve"> </v>
      </c>
      <c r="AG11" s="896">
        <f>VLOOKUP("ASC",Data!$A:$AW,9,FALSE)</f>
        <v>0</v>
      </c>
      <c r="AH11" s="897" t="str">
        <f>VLOOKUP("CNA",Data!$A:$AW,9,FALSE)</f>
        <v>Off</v>
      </c>
      <c r="AI11" s="904" t="str">
        <f>IF(VLOOKUP("Max 2",Data!$A$1250:$AW$1283,9,FALSE)="On", "X", " ")</f>
        <v xml:space="preserve"> </v>
      </c>
      <c r="AJ11" s="905" t="str">
        <f>VLOOKUP("Dia Mode",Data!$A:$AW,9,FALSE)</f>
        <v>DFT</v>
      </c>
      <c r="AK11" s="82"/>
      <c r="AL11" s="82"/>
      <c r="AM11" s="82"/>
    </row>
    <row r="12" spans="1:39" s="91" customFormat="1" ht="12" customHeight="1">
      <c r="A12" s="240" t="s">
        <v>328</v>
      </c>
      <c r="B12" s="100"/>
      <c r="C12" s="100"/>
      <c r="D12" s="101"/>
      <c r="E12" s="101"/>
      <c r="F12" s="100"/>
      <c r="G12" s="100"/>
      <c r="H12" s="100"/>
      <c r="I12" s="100"/>
      <c r="J12" s="97"/>
      <c r="K12" s="198" t="s">
        <v>329</v>
      </c>
      <c r="L12" s="849" t="str">
        <f>IF(VLOOKUP("Non Act1",Data!$A$1365:$I$1365,2,FALSE)="On","X","-")</f>
        <v>-</v>
      </c>
      <c r="M12" s="850" t="str">
        <f>IF(VLOOKUP("Non Act1",Data!$A$1365:$I$1365,3,FALSE)="On","X","-")</f>
        <v>-</v>
      </c>
      <c r="N12" s="851" t="str">
        <f>IF(VLOOKUP("Non Act1",Data!$A$1365:$I$1365,4,FALSE)="On","X","-")</f>
        <v>-</v>
      </c>
      <c r="O12" s="850" t="str">
        <f>IF(VLOOKUP("Non Act1",Data!$A$1365:$I$1365,5,FALSE)="On","X","-")</f>
        <v>-</v>
      </c>
      <c r="P12" s="851" t="str">
        <f>IF(VLOOKUP("Non Act1",Data!$A$1365:$I$1365,6,FALSE)="On","X","-")</f>
        <v>-</v>
      </c>
      <c r="Q12" s="850" t="str">
        <f>IF(VLOOKUP("Non Act1",Data!$A$1365:$I$1365,7,FALSE)="On","X","-")</f>
        <v>-</v>
      </c>
      <c r="R12" s="851" t="str">
        <f>IF(VLOOKUP("Non Act1",Data!$A$1365:$I$1365,8,FALSE)="On","X","-")</f>
        <v>-</v>
      </c>
      <c r="S12" s="859" t="str">
        <f>IF(VLOOKUP("Non Act1",Data!$A$1365:$I$1365,9,FALSE)="On","X","-")</f>
        <v>-</v>
      </c>
      <c r="T12" s="302">
        <v>9</v>
      </c>
      <c r="U12" s="877">
        <f>VLOOKUP("Ph Opt Table",Data!$A:$AW,10,FALSE)</f>
        <v>0</v>
      </c>
      <c r="V12" s="693">
        <f>VLOOKUP("Ph Time Table",Data!$A:$AW,10,FALSE)</f>
        <v>0</v>
      </c>
      <c r="W12" s="693">
        <f>VLOOKUP("Det Grp",Data!$A:$AW,10,FALSE)</f>
        <v>0</v>
      </c>
      <c r="X12" s="694">
        <f>VLOOKUP("Call Inh",Data!$A:$AW,10,FALSE)</f>
        <v>0</v>
      </c>
      <c r="Y12" s="885" t="str">
        <f>IF(VLOOKUP("Olp Off 1",Data!$A:$AW,10,FALSE)="On", "X", " ")</f>
        <v xml:space="preserve"> </v>
      </c>
      <c r="Z12" s="886" t="str">
        <f>IF(VLOOKUP("Olp Off 2",Data!$A:$AW,10,FALSE)="On", "X", " ")</f>
        <v xml:space="preserve"> </v>
      </c>
      <c r="AA12" s="886" t="str">
        <f>IF(VLOOKUP("Olp Off 3",Data!$A:$AW,10,FALSE)="On", "X", " ")</f>
        <v xml:space="preserve"> </v>
      </c>
      <c r="AB12" s="886" t="str">
        <f>IF(VLOOKUP("Olp Off 4",Data!$A:$AW,10,FALSE)="On", "X", " ")</f>
        <v xml:space="preserve"> </v>
      </c>
      <c r="AC12" s="886" t="str">
        <f>IF(VLOOKUP("Olp Off 5",Data!$A:$AW,10,FALSE)="On", "X", " ")</f>
        <v xml:space="preserve"> </v>
      </c>
      <c r="AD12" s="886" t="str">
        <f>IF(VLOOKUP("Olp Off 6",Data!$A:$AW,10,FALSE)="On", "X", " ")</f>
        <v xml:space="preserve"> </v>
      </c>
      <c r="AE12" s="886" t="str">
        <f>IF(VLOOKUP("Olp Off 7",Data!$A:$AW,10,FALSE)="On", "X", " ")</f>
        <v xml:space="preserve"> </v>
      </c>
      <c r="AF12" s="887" t="str">
        <f>IF(VLOOKUP("Olp Off 8",Data!$A:$AW,10,FALSE)="On", "X", " ")</f>
        <v xml:space="preserve"> </v>
      </c>
      <c r="AG12" s="896">
        <f>VLOOKUP("ASC",Data!$A:$AW,10,FALSE)</f>
        <v>0</v>
      </c>
      <c r="AH12" s="897" t="str">
        <f>VLOOKUP("CNA",Data!$A:$AW,10,FALSE)</f>
        <v>Off</v>
      </c>
      <c r="AI12" s="902" t="str">
        <f>IF(VLOOKUP("Max 2",Data!$A$1250:$AW$1283,10,FALSE)="On", "X", " ")</f>
        <v xml:space="preserve"> </v>
      </c>
      <c r="AJ12" s="903" t="str">
        <f>VLOOKUP("Dia Mode",Data!$A:$AW,10,FALSE)</f>
        <v>DFT</v>
      </c>
      <c r="AK12" s="82"/>
      <c r="AL12" s="82"/>
      <c r="AM12" s="82"/>
    </row>
    <row r="13" spans="1:39" s="91" customFormat="1" ht="12" customHeight="1">
      <c r="A13" s="197" t="s">
        <v>315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97"/>
      <c r="K13" s="198" t="s">
        <v>126</v>
      </c>
      <c r="L13" s="849" t="str">
        <f>IF(VLOOKUP("Red Rest",Data!$A$1367:$I$1367,2,FALSE)="On","X","-")</f>
        <v>-</v>
      </c>
      <c r="M13" s="850" t="str">
        <f>IF(VLOOKUP("Red Rest",Data!$A$1367:$I$1367,3,FALSE)="On","X","-")</f>
        <v>-</v>
      </c>
      <c r="N13" s="851" t="str">
        <f>IF(VLOOKUP("Red Rest",Data!$A$1367:$I$1367,4,FALSE)="On","X","-")</f>
        <v>-</v>
      </c>
      <c r="O13" s="850" t="str">
        <f>IF(VLOOKUP("Red Rest",Data!$A$1367:$I$1367,5,FALSE)="On","X","-")</f>
        <v>-</v>
      </c>
      <c r="P13" s="851" t="str">
        <f>IF(VLOOKUP("Red Rest",Data!$A$1367:$I$1367,6,FALSE)="On","X","-")</f>
        <v>-</v>
      </c>
      <c r="Q13" s="850" t="str">
        <f>IF(VLOOKUP("Red Rest",Data!$A$1367:$I$1367,7,FALSE)="On","X","-")</f>
        <v>-</v>
      </c>
      <c r="R13" s="851" t="str">
        <f>IF(VLOOKUP("Red Rest",Data!$A$1367:$I$1367,8,FALSE)="On","X","-")</f>
        <v>-</v>
      </c>
      <c r="S13" s="859" t="str">
        <f>IF(VLOOKUP("Red Rest",Data!$A$1367:$I$1367,9,FALSE)="On","X","-")</f>
        <v>-</v>
      </c>
      <c r="T13" s="303">
        <v>10</v>
      </c>
      <c r="U13" s="878">
        <f>VLOOKUP("Ph Opt Table",Data!$A:$AW,11,FALSE)</f>
        <v>0</v>
      </c>
      <c r="V13" s="690">
        <f>VLOOKUP("Ph Time Table",Data!$A:$AW,11,FALSE)</f>
        <v>0</v>
      </c>
      <c r="W13" s="690">
        <f>VLOOKUP("Det Grp",Data!$A:$AW,11,FALSE)</f>
        <v>0</v>
      </c>
      <c r="X13" s="691">
        <f>VLOOKUP("Call Inh",Data!$A:$AW,11,FALSE)</f>
        <v>0</v>
      </c>
      <c r="Y13" s="885" t="str">
        <f>IF(VLOOKUP("Olp Off 1",Data!$A:$AW,11,FALSE)="On", "X", " ")</f>
        <v xml:space="preserve"> </v>
      </c>
      <c r="Z13" s="886" t="str">
        <f>IF(VLOOKUP("Olp Off 2",Data!$A:$AW,11,FALSE)="On", "X", " ")</f>
        <v xml:space="preserve"> </v>
      </c>
      <c r="AA13" s="886" t="str">
        <f>IF(VLOOKUP("Olp Off 3",Data!$A:$AW,11,FALSE)="On", "X", " ")</f>
        <v xml:space="preserve"> </v>
      </c>
      <c r="AB13" s="886" t="str">
        <f>IF(VLOOKUP("Olp Off 4",Data!$A:$AW,11,FALSE)="On", "X", " ")</f>
        <v xml:space="preserve"> </v>
      </c>
      <c r="AC13" s="886" t="str">
        <f>IF(VLOOKUP("Olp Off 5",Data!$A:$AW,11,FALSE)="On", "X", " ")</f>
        <v xml:space="preserve"> </v>
      </c>
      <c r="AD13" s="886" t="str">
        <f>IF(VLOOKUP("Olp Off 6",Data!$A:$AW,11,FALSE)="On", "X", " ")</f>
        <v xml:space="preserve"> </v>
      </c>
      <c r="AE13" s="886" t="str">
        <f>IF(VLOOKUP("Olp Off 7",Data!$A:$AW,11,FALSE)="On", "X", " ")</f>
        <v xml:space="preserve"> </v>
      </c>
      <c r="AF13" s="887" t="str">
        <f>IF(VLOOKUP("Olp Off 8",Data!$A:$AW,11,FALSE)="On", "X", " ")</f>
        <v xml:space="preserve"> </v>
      </c>
      <c r="AG13" s="896">
        <f>VLOOKUP("ASC",Data!$A:$AW,11,FALSE)</f>
        <v>0</v>
      </c>
      <c r="AH13" s="897" t="str">
        <f>VLOOKUP("CNA",Data!$A:$AW,11,FALSE)</f>
        <v>Off</v>
      </c>
      <c r="AI13" s="904" t="str">
        <f>IF(VLOOKUP("Max 2",Data!$A$1250:$AW$1283,11,FALSE)="On", "X", " ")</f>
        <v xml:space="preserve"> </v>
      </c>
      <c r="AJ13" s="905" t="str">
        <f>VLOOKUP("Dia Mode",Data!$A:$AW,11,FALSE)</f>
        <v>DFT</v>
      </c>
      <c r="AK13" s="82"/>
      <c r="AL13" s="82"/>
      <c r="AM13" s="82"/>
    </row>
    <row r="14" spans="1:39" s="91" customFormat="1" ht="12" customHeight="1">
      <c r="A14" s="197" t="s">
        <v>324</v>
      </c>
      <c r="B14" s="952">
        <f>VLOOKUP("Assign Ph",Data!$A$1499:$AT$1510,2,FALSE)</f>
        <v>0</v>
      </c>
      <c r="C14" s="952">
        <f>VLOOKUP("Assign Ph",Data!$A$1499:$AT$1510,3,FALSE)</f>
        <v>0</v>
      </c>
      <c r="D14" s="952">
        <f>VLOOKUP("Assign Ph",Data!$A$1499:$AT$1510,4,FALSE)</f>
        <v>0</v>
      </c>
      <c r="E14" s="952">
        <f>VLOOKUP("Assign Ph",Data!$A$1499:$AT$1510,5,FALSE)</f>
        <v>0</v>
      </c>
      <c r="F14" s="952">
        <f>VLOOKUP("Assign Ph",Data!$A$1499:$AT$1510,6,FALSE)</f>
        <v>0</v>
      </c>
      <c r="G14" s="952">
        <f>VLOOKUP("Assign Ph",Data!$A$1499:$AT$1510,7,FALSE)</f>
        <v>0</v>
      </c>
      <c r="H14" s="952">
        <f>VLOOKUP("Assign Ph",Data!$A$1499:$AT$1510,8,FALSE)</f>
        <v>0</v>
      </c>
      <c r="I14" s="952">
        <f>VLOOKUP("Assign Ph",Data!$A$1499:$AT$1510,9,FALSE)</f>
        <v>0</v>
      </c>
      <c r="J14" s="97"/>
      <c r="K14" s="198" t="s">
        <v>115</v>
      </c>
      <c r="L14" s="849" t="str">
        <f>IF(VLOOKUP("Max 2",Data!$A$1363:$I$1363,2,FALSE)="On","X","-")</f>
        <v>-</v>
      </c>
      <c r="M14" s="850" t="str">
        <f>IF(VLOOKUP("Max 2",Data!$A$1363:$I$1363,3,FALSE)="On","X","-")</f>
        <v>-</v>
      </c>
      <c r="N14" s="851" t="str">
        <f>IF(VLOOKUP("Max 2",Data!$A$1363:$I$1363,4,FALSE)="On","X","-")</f>
        <v>-</v>
      </c>
      <c r="O14" s="850" t="str">
        <f>IF(VLOOKUP("Max 2",Data!$A$1363:$I$1363,5,FALSE)="On","X","-")</f>
        <v>-</v>
      </c>
      <c r="P14" s="851" t="str">
        <f>IF(VLOOKUP("Max 2",Data!$A$1363:$I$1363,6,FALSE)="On","X","-")</f>
        <v>-</v>
      </c>
      <c r="Q14" s="850" t="str">
        <f>IF(VLOOKUP("Max 2",Data!$A$1363:$I$1363,7,FALSE)="On","X","-")</f>
        <v>-</v>
      </c>
      <c r="R14" s="851" t="str">
        <f>IF(VLOOKUP("Max 2",Data!$A$1363:$I$1363,8,FALSE)="On","X","-")</f>
        <v>-</v>
      </c>
      <c r="S14" s="859" t="str">
        <f>IF(VLOOKUP("Max 2",Data!$A$1363:$I$1363,9,FALSE)="On","X","-")</f>
        <v>-</v>
      </c>
      <c r="T14" s="302">
        <v>11</v>
      </c>
      <c r="U14" s="877">
        <f>VLOOKUP("Ph Opt Table",Data!$A:$AW,12,FALSE)</f>
        <v>0</v>
      </c>
      <c r="V14" s="693">
        <f>VLOOKUP("Ph Time Table",Data!$A:$AW,12,FALSE)</f>
        <v>0</v>
      </c>
      <c r="W14" s="693">
        <f>VLOOKUP("Det Grp",Data!$A:$AW,12,FALSE)</f>
        <v>0</v>
      </c>
      <c r="X14" s="694">
        <f>VLOOKUP("Call Inh",Data!$A:$AW,12,FALSE)</f>
        <v>0</v>
      </c>
      <c r="Y14" s="885" t="str">
        <f>IF(VLOOKUP("Olp Off 1",Data!$A:$AW,12,FALSE)="On", "X", " ")</f>
        <v xml:space="preserve"> </v>
      </c>
      <c r="Z14" s="886" t="str">
        <f>IF(VLOOKUP("Olp Off 2",Data!$A:$AW,12,FALSE)="On", "X", " ")</f>
        <v xml:space="preserve"> </v>
      </c>
      <c r="AA14" s="886" t="str">
        <f>IF(VLOOKUP("Olp Off 3",Data!$A:$AW,12,FALSE)="On", "X", " ")</f>
        <v xml:space="preserve"> </v>
      </c>
      <c r="AB14" s="886" t="str">
        <f>IF(VLOOKUP("Olp Off 4",Data!$A:$AW,12,FALSE)="On", "X", " ")</f>
        <v xml:space="preserve"> </v>
      </c>
      <c r="AC14" s="886" t="str">
        <f>IF(VLOOKUP("Olp Off 5",Data!$A:$AW,12,FALSE)="On", "X", " ")</f>
        <v xml:space="preserve"> </v>
      </c>
      <c r="AD14" s="886" t="str">
        <f>IF(VLOOKUP("Olp Off 6",Data!$A:$AW,12,FALSE)="On", "X", " ")</f>
        <v xml:space="preserve"> </v>
      </c>
      <c r="AE14" s="886" t="str">
        <f>IF(VLOOKUP("Olp Off 7",Data!$A:$AW,12,FALSE)="On", "X", " ")</f>
        <v xml:space="preserve"> </v>
      </c>
      <c r="AF14" s="887" t="str">
        <f>IF(VLOOKUP("Olp Off 8",Data!$A:$AW,12,FALSE)="On", "X", " ")</f>
        <v xml:space="preserve"> </v>
      </c>
      <c r="AG14" s="896">
        <f>VLOOKUP("ASC",Data!$A:$AW,12,FALSE)</f>
        <v>0</v>
      </c>
      <c r="AH14" s="897" t="str">
        <f>VLOOKUP("CNA",Data!$A:$AW,12,FALSE)</f>
        <v>Off</v>
      </c>
      <c r="AI14" s="902" t="str">
        <f>IF(VLOOKUP("Max 2",Data!$A$1250:$AW$1283,12,FALSE)="On", "X", " ")</f>
        <v xml:space="preserve"> </v>
      </c>
      <c r="AJ14" s="903" t="str">
        <f>VLOOKUP("Dia Mode",Data!$A:$AW,12,FALSE)</f>
        <v>DFT</v>
      </c>
      <c r="AK14" s="82"/>
      <c r="AL14" s="82"/>
      <c r="AM14" s="82"/>
    </row>
    <row r="15" spans="1:39" s="91" customFormat="1" ht="12" customHeight="1">
      <c r="A15" s="99" t="s">
        <v>37</v>
      </c>
      <c r="B15" s="953">
        <f>VLOOKUP("Min Green",Data!$A$1499:$AT$1510,2,FALSE)</f>
        <v>0</v>
      </c>
      <c r="C15" s="953">
        <f>VLOOKUP("Min Green",Data!$A$1499:$AT$1510,3,FALSE)</f>
        <v>0</v>
      </c>
      <c r="D15" s="953">
        <f>VLOOKUP("Min Green",Data!$A$1499:$AT$1510,4,FALSE)</f>
        <v>0</v>
      </c>
      <c r="E15" s="953">
        <f>VLOOKUP("Min Green",Data!$A$1499:$AT$1510,5,FALSE)</f>
        <v>0</v>
      </c>
      <c r="F15" s="953">
        <f>VLOOKUP("Min Green",Data!$A$1499:$AT$1510,6,FALSE)</f>
        <v>0</v>
      </c>
      <c r="G15" s="953">
        <f>VLOOKUP("Min Green",Data!$A$1499:$AT$1510,7,FALSE)</f>
        <v>0</v>
      </c>
      <c r="H15" s="953">
        <f>VLOOKUP("Min Green",Data!$A$1499:$AT$1510,8,FALSE)</f>
        <v>0</v>
      </c>
      <c r="I15" s="953">
        <f>VLOOKUP("Min Green",Data!$A$1499:$AT$1510,9,FALSE)</f>
        <v>0</v>
      </c>
      <c r="J15" s="97"/>
      <c r="K15" s="198" t="s">
        <v>125</v>
      </c>
      <c r="L15" s="849" t="str">
        <f>IF(VLOOKUP("Ped Delay",Data!$A$1366:$I$1366,2,FALSE)="On","X","-")</f>
        <v>-</v>
      </c>
      <c r="M15" s="850" t="str">
        <f>IF(VLOOKUP("Ped Delay",Data!$A$1366:$I$1366,3,FALSE)="On","X","-")</f>
        <v>-</v>
      </c>
      <c r="N15" s="851" t="str">
        <f>IF(VLOOKUP("Ped Delay",Data!$A$1366:$I$1366,4,FALSE)="On","X","-")</f>
        <v>-</v>
      </c>
      <c r="O15" s="850" t="str">
        <f>IF(VLOOKUP("Ped Delay",Data!$A$1366:$I$1366,5,FALSE)="On","X","-")</f>
        <v>-</v>
      </c>
      <c r="P15" s="851" t="str">
        <f>IF(VLOOKUP("Ped Delay",Data!$A$1366:$I$1366,6,FALSE)="On","X","-")</f>
        <v>-</v>
      </c>
      <c r="Q15" s="850" t="str">
        <f>IF(VLOOKUP("Ped Delay",Data!$A$1366:$I$1366,7,FALSE)="On","X","-")</f>
        <v>-</v>
      </c>
      <c r="R15" s="851" t="str">
        <f>IF(VLOOKUP("Ped Delay",Data!$A$1366:$I$1366,8,FALSE)="On","X","-")</f>
        <v>-</v>
      </c>
      <c r="S15" s="859" t="str">
        <f>IF(VLOOKUP("Ped Delay",Data!$A$1366:$I$1366,9,FALSE)="On","X","-")</f>
        <v>-</v>
      </c>
      <c r="T15" s="303">
        <v>12</v>
      </c>
      <c r="U15" s="878">
        <f>VLOOKUP("Ph Opt Table",Data!$A:$AW,13,FALSE)</f>
        <v>0</v>
      </c>
      <c r="V15" s="690">
        <f>VLOOKUP("Ph Time Table",Data!$A:$AW,13,FALSE)</f>
        <v>0</v>
      </c>
      <c r="W15" s="690">
        <f>VLOOKUP("Det Grp",Data!$A:$AW,13,FALSE)</f>
        <v>0</v>
      </c>
      <c r="X15" s="691">
        <f>VLOOKUP("Call Inh",Data!$A:$AW,13,FALSE)</f>
        <v>0</v>
      </c>
      <c r="Y15" s="885" t="str">
        <f>IF(VLOOKUP("Olp Off 1",Data!$A:$AW,13,FALSE)="On", "X", " ")</f>
        <v xml:space="preserve"> </v>
      </c>
      <c r="Z15" s="886" t="str">
        <f>IF(VLOOKUP("Olp Off 2",Data!$A:$AW,13,FALSE)="On", "X", " ")</f>
        <v xml:space="preserve"> </v>
      </c>
      <c r="AA15" s="886" t="str">
        <f>IF(VLOOKUP("Olp Off 3",Data!$A:$AW,13,FALSE)="On", "X", " ")</f>
        <v xml:space="preserve"> </v>
      </c>
      <c r="AB15" s="886" t="str">
        <f>IF(VLOOKUP("Olp Off 4",Data!$A:$AW,13,FALSE)="On", "X", " ")</f>
        <v xml:space="preserve"> </v>
      </c>
      <c r="AC15" s="886" t="str">
        <f>IF(VLOOKUP("Olp Off 5",Data!$A:$AW,13,FALSE)="On", "X", " ")</f>
        <v xml:space="preserve"> </v>
      </c>
      <c r="AD15" s="886" t="str">
        <f>IF(VLOOKUP("Olp Off 6",Data!$A:$AW,13,FALSE)="On", "X", " ")</f>
        <v xml:space="preserve"> </v>
      </c>
      <c r="AE15" s="886" t="str">
        <f>IF(VLOOKUP("Olp Off 7",Data!$A:$AW,13,FALSE)="On", "X", " ")</f>
        <v xml:space="preserve"> </v>
      </c>
      <c r="AF15" s="887" t="str">
        <f>IF(VLOOKUP("Olp Off 8",Data!$A:$AW,13,FALSE)="On", "X", " ")</f>
        <v xml:space="preserve"> </v>
      </c>
      <c r="AG15" s="896">
        <f>VLOOKUP("ASC",Data!$A:$AW,13,FALSE)</f>
        <v>0</v>
      </c>
      <c r="AH15" s="897" t="str">
        <f>VLOOKUP("CNA",Data!$A:$AW,13,FALSE)</f>
        <v>Off</v>
      </c>
      <c r="AI15" s="904" t="str">
        <f>IF(VLOOKUP("Max 2",Data!$A$1250:$AW$1283,13,FALSE)="On", "X", " ")</f>
        <v xml:space="preserve"> </v>
      </c>
      <c r="AJ15" s="905" t="str">
        <f>VLOOKUP("Dia Mode",Data!$A:$AW,13,FALSE)</f>
        <v>DFT</v>
      </c>
      <c r="AK15" s="82"/>
      <c r="AL15" s="82"/>
      <c r="AM15" s="82"/>
    </row>
    <row r="16" spans="1:39" s="91" customFormat="1" ht="12" customHeight="1">
      <c r="A16" s="189" t="s">
        <v>142</v>
      </c>
      <c r="B16" s="953">
        <f>VLOOKUP("Gap Ext",Data!$A$1499:$AT$1510,2,FALSE)</f>
        <v>0</v>
      </c>
      <c r="C16" s="953">
        <f>VLOOKUP("Gap Ext",Data!$A$1499:$AT$1510,3,FALSE)</f>
        <v>0</v>
      </c>
      <c r="D16" s="953">
        <f>VLOOKUP("Gap Ext",Data!$A$1499:$AT$1510,4,FALSE)</f>
        <v>0</v>
      </c>
      <c r="E16" s="953">
        <f>VLOOKUP("Gap Ext",Data!$A$1499:$AT$1510,5,FALSE)</f>
        <v>0</v>
      </c>
      <c r="F16" s="953">
        <f>VLOOKUP("Gap Ext",Data!$A$1499:$AT$1510,6,FALSE)</f>
        <v>0</v>
      </c>
      <c r="G16" s="953">
        <f>VLOOKUP("Gap Ext",Data!$A$1499:$AT$1510,7,FALSE)</f>
        <v>0</v>
      </c>
      <c r="H16" s="953">
        <f>VLOOKUP("Gap Ext",Data!$A$1499:$AT$1510,8,FALSE)</f>
        <v>0</v>
      </c>
      <c r="I16" s="953">
        <f>VLOOKUP("Gap Ext",Data!$A$1499:$AT$1510,9,FALSE)</f>
        <v>0</v>
      </c>
      <c r="J16" s="97"/>
      <c r="K16" s="198" t="s">
        <v>330</v>
      </c>
      <c r="L16" s="849">
        <f>VLOOKUP("Conflicting Phs1",Data!$A$1358:$I$1358,2,FALSE)</f>
        <v>0</v>
      </c>
      <c r="M16" s="850">
        <f>VLOOKUP("Conflicting Phs1",Data!$A$1358:$I$1358,3,FALSE)</f>
        <v>0</v>
      </c>
      <c r="N16" s="851">
        <f>VLOOKUP("Conflicting Phs1",Data!$A$1358:$I$1358,4,FALSE)</f>
        <v>0</v>
      </c>
      <c r="O16" s="850">
        <f>VLOOKUP("Conflicting Phs1",Data!$A$1358:$I$1358,5,FALSE)</f>
        <v>0</v>
      </c>
      <c r="P16" s="851">
        <f>VLOOKUP("Conflicting Phs1",Data!$A$1358:$I$1358,6,FALSE)</f>
        <v>0</v>
      </c>
      <c r="Q16" s="850">
        <f>VLOOKUP("Conflicting Phs1",Data!$A$1358:$I$1358,7,FALSE)</f>
        <v>0</v>
      </c>
      <c r="R16" s="851">
        <f>VLOOKUP("Conflicting Phs1",Data!$A$1358:$I$1358,8,FALSE)</f>
        <v>0</v>
      </c>
      <c r="S16" s="859">
        <f>VLOOKUP("Conflicting Phs1",Data!$A$1358:$I$1358,9,FALSE)</f>
        <v>0</v>
      </c>
      <c r="T16" s="302">
        <v>13</v>
      </c>
      <c r="U16" s="877">
        <f>VLOOKUP("Ph Opt Table",Data!$A:$AW,14,FALSE)</f>
        <v>0</v>
      </c>
      <c r="V16" s="693">
        <f>VLOOKUP("Ph Time Table",Data!$A:$AW,14,FALSE)</f>
        <v>0</v>
      </c>
      <c r="W16" s="693">
        <f>VLOOKUP("Det Grp",Data!$A:$AW,14,FALSE)</f>
        <v>0</v>
      </c>
      <c r="X16" s="694">
        <f>VLOOKUP("Call Inh",Data!$A:$AW,14,FALSE)</f>
        <v>0</v>
      </c>
      <c r="Y16" s="885" t="str">
        <f>IF(VLOOKUP("Olp Off 1",Data!$A:$AW,14,FALSE)="On", "X", " ")</f>
        <v xml:space="preserve"> </v>
      </c>
      <c r="Z16" s="886" t="str">
        <f>IF(VLOOKUP("Olp Off 2",Data!$A:$AW,14,FALSE)="On", "X", " ")</f>
        <v xml:space="preserve"> </v>
      </c>
      <c r="AA16" s="886" t="str">
        <f>IF(VLOOKUP("Olp Off 3",Data!$A:$AW,14,FALSE)="On", "X", " ")</f>
        <v xml:space="preserve"> </v>
      </c>
      <c r="AB16" s="886" t="str">
        <f>IF(VLOOKUP("Olp Off 4",Data!$A:$AW,14,FALSE)="On", "X", " ")</f>
        <v xml:space="preserve"> </v>
      </c>
      <c r="AC16" s="886" t="str">
        <f>IF(VLOOKUP("Olp Off 5",Data!$A:$AW,14,FALSE)="On", "X", " ")</f>
        <v xml:space="preserve"> </v>
      </c>
      <c r="AD16" s="886" t="str">
        <f>IF(VLOOKUP("Olp Off 6",Data!$A:$AW,14,FALSE)="On", "X", " ")</f>
        <v xml:space="preserve"> </v>
      </c>
      <c r="AE16" s="886" t="str">
        <f>IF(VLOOKUP("Olp Off 7",Data!$A:$AW,14,FALSE)="On", "X", " ")</f>
        <v xml:space="preserve"> </v>
      </c>
      <c r="AF16" s="887" t="str">
        <f>IF(VLOOKUP("Olp Off 8",Data!$A:$AW,14,FALSE)="On", "X", " ")</f>
        <v xml:space="preserve"> </v>
      </c>
      <c r="AG16" s="896">
        <f>VLOOKUP("ASC",Data!$A:$AW,14,FALSE)</f>
        <v>0</v>
      </c>
      <c r="AH16" s="897" t="str">
        <f>VLOOKUP("CNA",Data!$A:$AW,14,FALSE)</f>
        <v>Off</v>
      </c>
      <c r="AI16" s="902" t="str">
        <f>IF(VLOOKUP("Max 2",Data!$A$1250:$AW$1283,14,FALSE)="On", "X", " ")</f>
        <v xml:space="preserve"> </v>
      </c>
      <c r="AJ16" s="903" t="str">
        <f>VLOOKUP("Dia Mode",Data!$A:$AW,14,FALSE)</f>
        <v>DFT</v>
      </c>
      <c r="AK16" s="82"/>
      <c r="AL16" s="82"/>
      <c r="AM16" s="82"/>
    </row>
    <row r="17" spans="1:41" s="91" customFormat="1" ht="12" customHeight="1">
      <c r="A17" s="99" t="s">
        <v>38</v>
      </c>
      <c r="B17" s="953">
        <f>VLOOKUP("Max1",Data!$A$1499:$AT$1510,2,FALSE)</f>
        <v>0</v>
      </c>
      <c r="C17" s="953">
        <f>VLOOKUP("Max1",Data!$A$1499:$AT$1510,3,FALSE)</f>
        <v>0</v>
      </c>
      <c r="D17" s="953">
        <f>VLOOKUP("Max1",Data!$A$1499:$AT$1510,4,FALSE)</f>
        <v>0</v>
      </c>
      <c r="E17" s="953">
        <f>VLOOKUP("Max1",Data!$A$1499:$AT$1510,5,FALSE)</f>
        <v>0</v>
      </c>
      <c r="F17" s="953">
        <f>VLOOKUP("Max1",Data!$A$1499:$AT$1510,6,FALSE)</f>
        <v>0</v>
      </c>
      <c r="G17" s="953">
        <f>VLOOKUP("Max1",Data!$A$1499:$AT$1510,7,FALSE)</f>
        <v>0</v>
      </c>
      <c r="H17" s="953">
        <f>VLOOKUP("Max1",Data!$A$1499:$AT$1510,8,FALSE)</f>
        <v>0</v>
      </c>
      <c r="I17" s="953">
        <f>VLOOKUP("Max1",Data!$A$1499:$AT$1510,9,FALSE)</f>
        <v>0</v>
      </c>
      <c r="J17" s="97"/>
      <c r="K17" s="198"/>
      <c r="L17" s="860"/>
      <c r="M17" s="861"/>
      <c r="N17" s="862"/>
      <c r="O17" s="861"/>
      <c r="P17" s="862"/>
      <c r="Q17" s="861"/>
      <c r="R17" s="862"/>
      <c r="S17" s="863"/>
      <c r="T17" s="303">
        <v>14</v>
      </c>
      <c r="U17" s="878">
        <f>VLOOKUP("Ph Opt Table",Data!$A:$AW,15,FALSE)</f>
        <v>0</v>
      </c>
      <c r="V17" s="690">
        <f>VLOOKUP("Ph Time Table",Data!$A:$AW,15,FALSE)</f>
        <v>0</v>
      </c>
      <c r="W17" s="690">
        <f>VLOOKUP("Det Grp",Data!$A:$AW,15,FALSE)</f>
        <v>0</v>
      </c>
      <c r="X17" s="691">
        <f>VLOOKUP("Call Inh",Data!$A:$AW,15,FALSE)</f>
        <v>0</v>
      </c>
      <c r="Y17" s="885" t="str">
        <f>IF(VLOOKUP("Olp Off 1",Data!$A:$AW,15,FALSE)="On", "X", " ")</f>
        <v xml:space="preserve"> </v>
      </c>
      <c r="Z17" s="886" t="str">
        <f>IF(VLOOKUP("Olp Off 2",Data!$A:$AW,15,FALSE)="On", "X", " ")</f>
        <v xml:space="preserve"> </v>
      </c>
      <c r="AA17" s="886" t="str">
        <f>IF(VLOOKUP("Olp Off 3",Data!$A:$AW,15,FALSE)="On", "X", " ")</f>
        <v xml:space="preserve"> </v>
      </c>
      <c r="AB17" s="886" t="str">
        <f>IF(VLOOKUP("Olp Off 4",Data!$A:$AW,15,FALSE)="On", "X", " ")</f>
        <v xml:space="preserve"> </v>
      </c>
      <c r="AC17" s="886" t="str">
        <f>IF(VLOOKUP("Olp Off 5",Data!$A:$AW,15,FALSE)="On", "X", " ")</f>
        <v xml:space="preserve"> </v>
      </c>
      <c r="AD17" s="886" t="str">
        <f>IF(VLOOKUP("Olp Off 6",Data!$A:$AW,15,FALSE)="On", "X", " ")</f>
        <v xml:space="preserve"> </v>
      </c>
      <c r="AE17" s="886" t="str">
        <f>IF(VLOOKUP("Olp Off 7",Data!$A:$AW,15,FALSE)="On", "X", " ")</f>
        <v xml:space="preserve"> </v>
      </c>
      <c r="AF17" s="887" t="str">
        <f>IF(VLOOKUP("Olp Off 8",Data!$A:$AW,15,FALSE)="On", "X", " ")</f>
        <v xml:space="preserve"> </v>
      </c>
      <c r="AG17" s="896">
        <f>VLOOKUP("ASC",Data!$A:$AW,15,FALSE)</f>
        <v>0</v>
      </c>
      <c r="AH17" s="897" t="str">
        <f>VLOOKUP("CNA",Data!$A:$AW,15,FALSE)</f>
        <v>Off</v>
      </c>
      <c r="AI17" s="904" t="str">
        <f>IF(VLOOKUP("Max 2",Data!$A$1250:$AW$1283,15,FALSE)="On", "X", " ")</f>
        <v xml:space="preserve"> </v>
      </c>
      <c r="AJ17" s="905" t="str">
        <f>VLOOKUP("Dia Mode",Data!$A:$AW,15,FALSE)</f>
        <v>DFT</v>
      </c>
      <c r="AK17" s="82"/>
      <c r="AL17" s="82"/>
      <c r="AM17" s="82"/>
    </row>
    <row r="18" spans="1:41" s="91" customFormat="1" ht="12" customHeight="1">
      <c r="A18" s="99" t="s">
        <v>39</v>
      </c>
      <c r="B18" s="953">
        <f>VLOOKUP("Max2",Data!$A$1499:$AT$1510,2,FALSE)</f>
        <v>0</v>
      </c>
      <c r="C18" s="953">
        <f>VLOOKUP("Max2",Data!$A$1499:$AT$1510,3,FALSE)</f>
        <v>0</v>
      </c>
      <c r="D18" s="953">
        <f>VLOOKUP("Max2",Data!$A$1499:$AT$1510,4,FALSE)</f>
        <v>0</v>
      </c>
      <c r="E18" s="953">
        <f>VLOOKUP("Max2",Data!$A$1499:$AT$1510,5,FALSE)</f>
        <v>0</v>
      </c>
      <c r="F18" s="953">
        <f>VLOOKUP("Max2",Data!$A$1499:$AT$1510,6,FALSE)</f>
        <v>0</v>
      </c>
      <c r="G18" s="953">
        <f>VLOOKUP("Max2",Data!$A$1499:$AT$1510,7,FALSE)</f>
        <v>0</v>
      </c>
      <c r="H18" s="953">
        <f>VLOOKUP("Max2",Data!$A$1499:$AT$1510,8,FALSE)</f>
        <v>0</v>
      </c>
      <c r="I18" s="953">
        <f>VLOOKUP("Max2",Data!$A$1499:$AT$1510,9,FALSE)</f>
        <v>0</v>
      </c>
      <c r="J18" s="97"/>
      <c r="K18" s="241" t="s">
        <v>331</v>
      </c>
      <c r="L18" s="100"/>
      <c r="M18" s="100"/>
      <c r="N18" s="102"/>
      <c r="O18" s="102"/>
      <c r="P18" s="100"/>
      <c r="Q18" s="100"/>
      <c r="R18" s="100"/>
      <c r="S18" s="100"/>
      <c r="T18" s="302">
        <v>15</v>
      </c>
      <c r="U18" s="877">
        <f>VLOOKUP("Ph Opt Table",Data!$A:$AW,16,FALSE)</f>
        <v>0</v>
      </c>
      <c r="V18" s="693">
        <f>VLOOKUP("Ph Time Table",Data!$A:$AW,16,FALSE)</f>
        <v>0</v>
      </c>
      <c r="W18" s="693">
        <f>VLOOKUP("Det Grp",Data!$A:$AW,16,FALSE)</f>
        <v>0</v>
      </c>
      <c r="X18" s="694">
        <f>VLOOKUP("Call Inh",Data!$A:$AW,16,FALSE)</f>
        <v>0</v>
      </c>
      <c r="Y18" s="885" t="str">
        <f>IF(VLOOKUP("Olp Off 1",Data!$A:$AW,16,FALSE)="On", "X", " ")</f>
        <v xml:space="preserve"> </v>
      </c>
      <c r="Z18" s="886" t="str">
        <f>IF(VLOOKUP("Olp Off 2",Data!$A:$AW,16,FALSE)="On", "X", " ")</f>
        <v xml:space="preserve"> </v>
      </c>
      <c r="AA18" s="886" t="str">
        <f>IF(VLOOKUP("Olp Off 3",Data!$A:$AW,16,FALSE)="On", "X", " ")</f>
        <v xml:space="preserve"> </v>
      </c>
      <c r="AB18" s="886" t="str">
        <f>IF(VLOOKUP("Olp Off 4",Data!$A:$AW,16,FALSE)="On", "X", " ")</f>
        <v xml:space="preserve"> </v>
      </c>
      <c r="AC18" s="886" t="str">
        <f>IF(VLOOKUP("Olp Off 5",Data!$A:$AW,16,FALSE)="On", "X", " ")</f>
        <v xml:space="preserve"> </v>
      </c>
      <c r="AD18" s="886" t="str">
        <f>IF(VLOOKUP("Olp Off 6",Data!$A:$AW,16,FALSE)="On", "X", " ")</f>
        <v xml:space="preserve"> </v>
      </c>
      <c r="AE18" s="886" t="str">
        <f>IF(VLOOKUP("Olp Off 7",Data!$A:$AW,16,FALSE)="On", "X", " ")</f>
        <v xml:space="preserve"> </v>
      </c>
      <c r="AF18" s="887" t="str">
        <f>IF(VLOOKUP("Olp Off 8",Data!$A:$AW,16,FALSE)="On", "X", " ")</f>
        <v xml:space="preserve"> </v>
      </c>
      <c r="AG18" s="896">
        <f>VLOOKUP("ASC",Data!$A:$AW,16,FALSE)</f>
        <v>0</v>
      </c>
      <c r="AH18" s="897" t="str">
        <f>VLOOKUP("CNA",Data!$A:$AW,16,FALSE)</f>
        <v>Off</v>
      </c>
      <c r="AI18" s="902" t="str">
        <f>IF(VLOOKUP("Max 2",Data!$A$1250:$AW$1283,16,FALSE)="On", "X", " ")</f>
        <v xml:space="preserve"> </v>
      </c>
      <c r="AJ18" s="903" t="str">
        <f>VLOOKUP("Dia Mode",Data!$A:$AW,16,FALSE)</f>
        <v>DFT</v>
      </c>
      <c r="AK18" s="82"/>
      <c r="AL18" s="82"/>
      <c r="AM18" s="82"/>
    </row>
    <row r="19" spans="1:41" s="91" customFormat="1" ht="12" customHeight="1">
      <c r="A19" s="99" t="s">
        <v>40</v>
      </c>
      <c r="B19" s="953">
        <f>VLOOKUP("Yellow Clr",Data!$A$1499:$AT$1510,2,FALSE)</f>
        <v>0</v>
      </c>
      <c r="C19" s="953">
        <f>VLOOKUP("Yellow Clr",Data!$A$1499:$AT$1510,3,FALSE)</f>
        <v>0</v>
      </c>
      <c r="D19" s="953">
        <f>VLOOKUP("Yellow Clr",Data!$A$1499:$AT$1510,4,FALSE)</f>
        <v>0</v>
      </c>
      <c r="E19" s="953">
        <f>VLOOKUP("Yellow Clr",Data!$A$1499:$AT$1510,5,FALSE)</f>
        <v>0</v>
      </c>
      <c r="F19" s="953">
        <f>VLOOKUP("Yellow Clr",Data!$A$1499:$AT$1510,6,FALSE)</f>
        <v>0</v>
      </c>
      <c r="G19" s="953">
        <f>VLOOKUP("Yellow Clr",Data!$A$1499:$AT$1510,7,FALSE)</f>
        <v>0</v>
      </c>
      <c r="H19" s="953">
        <f>VLOOKUP("Yellow Clr",Data!$A$1499:$AT$1510,8,FALSE)</f>
        <v>0</v>
      </c>
      <c r="I19" s="953">
        <f>VLOOKUP("Yellow Clr",Data!$A$1499:$AT$1510,9,FALSE)</f>
        <v>0</v>
      </c>
      <c r="J19" s="97"/>
      <c r="K19" s="198" t="s">
        <v>316</v>
      </c>
      <c r="L19" s="98">
        <v>1</v>
      </c>
      <c r="M19" s="98">
        <v>2</v>
      </c>
      <c r="N19" s="98">
        <v>3</v>
      </c>
      <c r="O19" s="98">
        <v>4</v>
      </c>
      <c r="P19" s="98">
        <v>5</v>
      </c>
      <c r="Q19" s="98">
        <v>6</v>
      </c>
      <c r="R19" s="98">
        <v>7</v>
      </c>
      <c r="S19" s="196">
        <v>8</v>
      </c>
      <c r="T19" s="304">
        <v>16</v>
      </c>
      <c r="U19" s="878">
        <f>VLOOKUP("Ph Opt Table",Data!$A:$AW,17,FALSE)</f>
        <v>0</v>
      </c>
      <c r="V19" s="690">
        <f>VLOOKUP("Ph Time Table",Data!$A:$AW,17,FALSE)</f>
        <v>0</v>
      </c>
      <c r="W19" s="690">
        <f>VLOOKUP("Det Grp",Data!$A:$AW,17,FALSE)</f>
        <v>0</v>
      </c>
      <c r="X19" s="691">
        <f>VLOOKUP("Call Inh",Data!$A:$AW,17,FALSE)</f>
        <v>0</v>
      </c>
      <c r="Y19" s="885" t="str">
        <f>IF(VLOOKUP("Olp Off 1",Data!$A:$AW,17,FALSE)="On", "X", " ")</f>
        <v xml:space="preserve"> </v>
      </c>
      <c r="Z19" s="886" t="str">
        <f>IF(VLOOKUP("Olp Off 2",Data!$A:$AW,17,FALSE)="On", "X", " ")</f>
        <v xml:space="preserve"> </v>
      </c>
      <c r="AA19" s="886" t="str">
        <f>IF(VLOOKUP("Olp Off 3",Data!$A:$AW,17,FALSE)="On", "X", " ")</f>
        <v xml:space="preserve"> </v>
      </c>
      <c r="AB19" s="886" t="str">
        <f>IF(VLOOKUP("Olp Off 4",Data!$A:$AW,17,FALSE)="On", "X", " ")</f>
        <v xml:space="preserve"> </v>
      </c>
      <c r="AC19" s="886" t="str">
        <f>IF(VLOOKUP("Olp Off 5",Data!$A:$AW,17,FALSE)="On", "X", " ")</f>
        <v xml:space="preserve"> </v>
      </c>
      <c r="AD19" s="886" t="str">
        <f>IF(VLOOKUP("Olp Off 6",Data!$A:$AW,17,FALSE)="On", "X", " ")</f>
        <v xml:space="preserve"> </v>
      </c>
      <c r="AE19" s="886" t="str">
        <f>IF(VLOOKUP("Olp Off 7",Data!$A:$AW,17,FALSE)="On", "X", " ")</f>
        <v xml:space="preserve"> </v>
      </c>
      <c r="AF19" s="887" t="str">
        <f>IF(VLOOKUP("Olp Off 8",Data!$A:$AW,17,FALSE)="On", "X", " ")</f>
        <v xml:space="preserve"> </v>
      </c>
      <c r="AG19" s="896">
        <f>VLOOKUP("ASC",Data!$A:$AW,17,FALSE)</f>
        <v>0</v>
      </c>
      <c r="AH19" s="897" t="str">
        <f>VLOOKUP("CNA",Data!$A:$AW,17,FALSE)</f>
        <v>Off</v>
      </c>
      <c r="AI19" s="904" t="str">
        <f>IF(VLOOKUP("Max 2",Data!$A$1250:$AW$1283,17,FALSE)="On", "X", " ")</f>
        <v xml:space="preserve"> </v>
      </c>
      <c r="AJ19" s="905" t="str">
        <f>VLOOKUP("Dia Mode",Data!$A:$AW,17,FALSE)</f>
        <v>DFT</v>
      </c>
      <c r="AK19" s="82"/>
      <c r="AL19" s="82"/>
      <c r="AM19" s="82"/>
    </row>
    <row r="20" spans="1:41" s="91" customFormat="1" ht="12" customHeight="1">
      <c r="A20" s="99" t="s">
        <v>41</v>
      </c>
      <c r="B20" s="953">
        <f>VLOOKUP("Red Clr",Data!$A$1499:$AT$1510,2,FALSE)</f>
        <v>0</v>
      </c>
      <c r="C20" s="953">
        <f>VLOOKUP("Red Clr",Data!$A$1499:$AT$1510,3,FALSE)</f>
        <v>0</v>
      </c>
      <c r="D20" s="953">
        <f>VLOOKUP("Red Clr",Data!$A$1499:$AT$1510,4,FALSE)</f>
        <v>0</v>
      </c>
      <c r="E20" s="953">
        <f>VLOOKUP("Red Clr",Data!$A$1499:$AT$1510,5,FALSE)</f>
        <v>0</v>
      </c>
      <c r="F20" s="953">
        <f>VLOOKUP("Red Clr",Data!$A$1499:$AT$1510,6,FALSE)</f>
        <v>0</v>
      </c>
      <c r="G20" s="953">
        <f>VLOOKUP("Red Clr",Data!$A$1499:$AT$1510,7,FALSE)</f>
        <v>0</v>
      </c>
      <c r="H20" s="953">
        <f>VLOOKUP("Red Clr",Data!$A$1499:$AT$1510,8,FALSE)</f>
        <v>0</v>
      </c>
      <c r="I20" s="953">
        <f>VLOOKUP("Red Clr",Data!$A$1499:$AT$1510,9,FALSE)</f>
        <v>0</v>
      </c>
      <c r="J20" s="97"/>
      <c r="K20" s="198" t="s">
        <v>324</v>
      </c>
      <c r="L20" s="864">
        <f>VLOOKUP("Assign Phase",Data!$A$1375:$I$1375,2,FALSE)</f>
        <v>0</v>
      </c>
      <c r="M20" s="865">
        <f>VLOOKUP("Assign Phase",Data!$A$1375:$I$1375,3,FALSE)</f>
        <v>0</v>
      </c>
      <c r="N20" s="866">
        <f>VLOOKUP("Assign Phase",Data!$A$1375:$I$1375,4,FALSE)</f>
        <v>0</v>
      </c>
      <c r="O20" s="865">
        <f>VLOOKUP("Assign Phase",Data!$A$1375:$I$1375,5,FALSE)</f>
        <v>0</v>
      </c>
      <c r="P20" s="866">
        <f>VLOOKUP("Assign Phase",Data!$A$1375:$I$1375,6,FALSE)</f>
        <v>0</v>
      </c>
      <c r="Q20" s="865">
        <f>VLOOKUP("Assign Phase",Data!$A$1375:$I$1375,7,FALSE)</f>
        <v>0</v>
      </c>
      <c r="R20" s="866">
        <f>VLOOKUP("Assign Phase",Data!$A$1375:$I$1375,8,FALSE)</f>
        <v>0</v>
      </c>
      <c r="S20" s="867">
        <f>VLOOKUP("Assign Phase",Data!$A$1375:$I$1375,9,FALSE)</f>
        <v>0</v>
      </c>
      <c r="T20" s="302">
        <v>17</v>
      </c>
      <c r="U20" s="877">
        <f>VLOOKUP("Ph Opt Table",Data!$A:$AW,18,FALSE)</f>
        <v>0</v>
      </c>
      <c r="V20" s="693">
        <f>VLOOKUP("Ph Time Table",Data!$A:$AW,18,FALSE)</f>
        <v>0</v>
      </c>
      <c r="W20" s="693">
        <f>VLOOKUP("Det Grp",Data!$A:$AW,18,FALSE)</f>
        <v>0</v>
      </c>
      <c r="X20" s="694">
        <f>VLOOKUP("Call Inh",Data!$A:$AW,18,FALSE)</f>
        <v>0</v>
      </c>
      <c r="Y20" s="885" t="str">
        <f>IF(VLOOKUP("Olp Off 1",Data!$A:$AW,18,FALSE)="On", "X", " ")</f>
        <v xml:space="preserve"> </v>
      </c>
      <c r="Z20" s="886" t="str">
        <f>IF(VLOOKUP("Olp Off 2",Data!$A:$AW,18,FALSE)="On", "X", " ")</f>
        <v xml:space="preserve"> </v>
      </c>
      <c r="AA20" s="886" t="str">
        <f>IF(VLOOKUP("Olp Off 3",Data!$A:$AW,18,FALSE)="On", "X", " ")</f>
        <v xml:space="preserve"> </v>
      </c>
      <c r="AB20" s="886" t="str">
        <f>IF(VLOOKUP("Olp Off 4",Data!$A:$AW,18,FALSE)="On", "X", " ")</f>
        <v xml:space="preserve"> </v>
      </c>
      <c r="AC20" s="886" t="str">
        <f>IF(VLOOKUP("Olp Off 5",Data!$A:$AW,18,FALSE)="On", "X", " ")</f>
        <v xml:space="preserve"> </v>
      </c>
      <c r="AD20" s="886" t="str">
        <f>IF(VLOOKUP("Olp Off 6",Data!$A:$AW,18,FALSE)="On", "X", " ")</f>
        <v xml:space="preserve"> </v>
      </c>
      <c r="AE20" s="886" t="str">
        <f>IF(VLOOKUP("Olp Off 7",Data!$A:$AW,18,FALSE)="On", "X", " ")</f>
        <v xml:space="preserve"> </v>
      </c>
      <c r="AF20" s="887" t="str">
        <f>IF(VLOOKUP("Olp Off 8",Data!$A:$AW,18,FALSE)="On", "X", " ")</f>
        <v xml:space="preserve"> </v>
      </c>
      <c r="AG20" s="896">
        <f>VLOOKUP("ASC",Data!$A:$AW,18,FALSE)</f>
        <v>0</v>
      </c>
      <c r="AH20" s="897" t="str">
        <f>VLOOKUP("CNA",Data!$A:$AW,18,FALSE)</f>
        <v>Off</v>
      </c>
      <c r="AI20" s="902" t="str">
        <f>IF(VLOOKUP("Max 2",Data!$A$1250:$AW$1283,18,FALSE)="On", "X", " ")</f>
        <v xml:space="preserve"> </v>
      </c>
      <c r="AJ20" s="903" t="str">
        <f>VLOOKUP("Dia Mode",Data!$A:$AW,18,FALSE)</f>
        <v>DFT</v>
      </c>
      <c r="AK20" s="82"/>
      <c r="AL20" s="82"/>
      <c r="AM20" s="82"/>
      <c r="AN20" s="82"/>
    </row>
    <row r="21" spans="1:41" s="91" customFormat="1" ht="12" customHeight="1">
      <c r="A21" s="99" t="s">
        <v>42</v>
      </c>
      <c r="B21" s="953">
        <f>VLOOKUP("Walk",Data!$A$1499:$AT$1510,2,FALSE)</f>
        <v>0</v>
      </c>
      <c r="C21" s="953">
        <f>VLOOKUP("Walk",Data!$A$1499:$AT$1510,3,FALSE)</f>
        <v>0</v>
      </c>
      <c r="D21" s="953">
        <f>VLOOKUP("Walk",Data!$A$1499:$AT$1510,4,FALSE)</f>
        <v>0</v>
      </c>
      <c r="E21" s="953">
        <f>VLOOKUP("Walk",Data!$A$1499:$AT$1510,5,FALSE)</f>
        <v>0</v>
      </c>
      <c r="F21" s="953">
        <f>VLOOKUP("Walk",Data!$A$1499:$AT$1510,6,FALSE)</f>
        <v>0</v>
      </c>
      <c r="G21" s="953">
        <f>VLOOKUP("Walk",Data!$A$1499:$AT$1510,7,FALSE)</f>
        <v>0</v>
      </c>
      <c r="H21" s="953">
        <f>VLOOKUP("Walk",Data!$A$1499:$AT$1510,8,FALSE)</f>
        <v>0</v>
      </c>
      <c r="I21" s="953">
        <f>VLOOKUP("Walk",Data!$A$1499:$AT$1510,9,FALSE)</f>
        <v>0</v>
      </c>
      <c r="J21" s="97"/>
      <c r="K21" s="198" t="s">
        <v>173</v>
      </c>
      <c r="L21" s="849" t="str">
        <f>IF(VLOOKUP("Lock Call",Data!$A$1381:$I$1381,2,FALSE)="On","X","-")</f>
        <v>-</v>
      </c>
      <c r="M21" s="850" t="str">
        <f>IF(VLOOKUP("Lock Call",Data!$A$1381:$I$1381,3,FALSE)="On","X","-")</f>
        <v>-</v>
      </c>
      <c r="N21" s="851" t="str">
        <f>IF(VLOOKUP("Lock Call",Data!$A$1381:$I$1381,4,FALSE)="On","X","-")</f>
        <v>-</v>
      </c>
      <c r="O21" s="850" t="str">
        <f>IF(VLOOKUP("Lock Call",Data!$A$1381:$I$1381,5,FALSE)="On","X","-")</f>
        <v>-</v>
      </c>
      <c r="P21" s="851" t="str">
        <f>IF(VLOOKUP("Lock Call",Data!$A$1381:$I$1381,6,FALSE)="On","X","-")</f>
        <v>-</v>
      </c>
      <c r="Q21" s="850" t="str">
        <f>IF(VLOOKUP("Lock Call",Data!$A$1381:$I$1381,7,FALSE)="On","X","-")</f>
        <v>-</v>
      </c>
      <c r="R21" s="851" t="str">
        <f>IF(VLOOKUP("Lock Call",Data!$A$1381:$I$1381,8,FALSE)="On","X","-")</f>
        <v>-</v>
      </c>
      <c r="S21" s="852" t="str">
        <f>IF(VLOOKUP("Lock Call",Data!$A$1381:$I$1381,9,FALSE)="On","X","-")</f>
        <v>-</v>
      </c>
      <c r="T21" s="303">
        <v>18</v>
      </c>
      <c r="U21" s="878">
        <f>VLOOKUP("Ph Opt Table",Data!$A:$AW,19,FALSE)</f>
        <v>0</v>
      </c>
      <c r="V21" s="690">
        <f>VLOOKUP("Ph Time Table",Data!$A:$AW,19,FALSE)</f>
        <v>0</v>
      </c>
      <c r="W21" s="690">
        <f>VLOOKUP("Det Grp",Data!$A:$AW,19,FALSE)</f>
        <v>0</v>
      </c>
      <c r="X21" s="691">
        <f>VLOOKUP("Call Inh",Data!$A:$AW,19,FALSE)</f>
        <v>0</v>
      </c>
      <c r="Y21" s="885" t="str">
        <f>IF(VLOOKUP("Olp Off 1",Data!$A:$AW,19,FALSE)="On", "X", " ")</f>
        <v xml:space="preserve"> </v>
      </c>
      <c r="Z21" s="886" t="str">
        <f>IF(VLOOKUP("Olp Off 2",Data!$A:$AW,19,FALSE)="On", "X", " ")</f>
        <v xml:space="preserve"> </v>
      </c>
      <c r="AA21" s="886" t="str">
        <f>IF(VLOOKUP("Olp Off 3",Data!$A:$AW,19,FALSE)="On", "X", " ")</f>
        <v xml:space="preserve"> </v>
      </c>
      <c r="AB21" s="886" t="str">
        <f>IF(VLOOKUP("Olp Off 4",Data!$A:$AW,19,FALSE)="On", "X", " ")</f>
        <v xml:space="preserve"> </v>
      </c>
      <c r="AC21" s="886" t="str">
        <f>IF(VLOOKUP("Olp Off 5",Data!$A:$AW,19,FALSE)="On", "X", " ")</f>
        <v xml:space="preserve"> </v>
      </c>
      <c r="AD21" s="886" t="str">
        <f>IF(VLOOKUP("Olp Off 6",Data!$A:$AW,19,FALSE)="On", "X", " ")</f>
        <v xml:space="preserve"> </v>
      </c>
      <c r="AE21" s="886" t="str">
        <f>IF(VLOOKUP("Olp Off 7",Data!$A:$AW,19,FALSE)="On", "X", " ")</f>
        <v xml:space="preserve"> </v>
      </c>
      <c r="AF21" s="887" t="str">
        <f>IF(VLOOKUP("Olp Off 8",Data!$A:$AW,19,FALSE)="On", "X", " ")</f>
        <v xml:space="preserve"> </v>
      </c>
      <c r="AG21" s="896">
        <f>VLOOKUP("ASC",Data!$A:$AW,19,FALSE)</f>
        <v>0</v>
      </c>
      <c r="AH21" s="897" t="str">
        <f>VLOOKUP("CNA",Data!$A:$AW,19,FALSE)</f>
        <v>Off</v>
      </c>
      <c r="AI21" s="904" t="str">
        <f>IF(VLOOKUP("Max 2",Data!$A$1250:$AW$1283,19,FALSE)="On", "X", " ")</f>
        <v xml:space="preserve"> </v>
      </c>
      <c r="AJ21" s="905" t="str">
        <f>VLOOKUP("Dia Mode",Data!$A:$AW,19,FALSE)</f>
        <v>DFT</v>
      </c>
      <c r="AK21" s="82"/>
      <c r="AL21" s="82"/>
      <c r="AM21" s="82"/>
      <c r="AO21" s="82"/>
    </row>
    <row r="22" spans="1:41" s="91" customFormat="1" ht="12" customHeight="1">
      <c r="A22" s="99" t="s">
        <v>43</v>
      </c>
      <c r="B22" s="954">
        <f>VLOOKUP("Ped Clear",Data!$A$1499:$AT$1510,2,FALSE)</f>
        <v>0</v>
      </c>
      <c r="C22" s="954">
        <f>VLOOKUP("Ped Clear",Data!$A$1499:$AT$1510,3,FALSE)</f>
        <v>0</v>
      </c>
      <c r="D22" s="954">
        <f>VLOOKUP("Ped Clear",Data!$A$1499:$AT$1510,4,FALSE)</f>
        <v>0</v>
      </c>
      <c r="E22" s="954">
        <f>VLOOKUP("Ped Clear",Data!$A$1499:$AT$1510,5,FALSE)</f>
        <v>0</v>
      </c>
      <c r="F22" s="954">
        <f>VLOOKUP("Ped Clear",Data!$A$1499:$AT$1510,6,FALSE)</f>
        <v>0</v>
      </c>
      <c r="G22" s="954">
        <f>VLOOKUP("Ped Clear",Data!$A$1499:$AT$1510,7,FALSE)</f>
        <v>0</v>
      </c>
      <c r="H22" s="954">
        <f>VLOOKUP("Ped Clear",Data!$A$1499:$AT$1510,8,FALSE)</f>
        <v>0</v>
      </c>
      <c r="I22" s="954">
        <f>VLOOKUP("Ped Clear",Data!$A$1499:$AT$1510,9,FALSE)</f>
        <v>0</v>
      </c>
      <c r="J22" s="97"/>
      <c r="K22" s="198" t="s">
        <v>123</v>
      </c>
      <c r="L22" s="849" t="str">
        <f>IF(VLOOKUP("Soft ReCall",Data!$A$1390:$I$1390,2,FALSE)="On","X","-")</f>
        <v>-</v>
      </c>
      <c r="M22" s="850" t="str">
        <f>IF(VLOOKUP("Soft ReCall",Data!$A$1390:$I$1390,3,FALSE)="On","X","-")</f>
        <v>-</v>
      </c>
      <c r="N22" s="851" t="str">
        <f>IF(VLOOKUP("Soft ReCall",Data!$A$1390:$I$1390,4,FALSE)="On","X","-")</f>
        <v>-</v>
      </c>
      <c r="O22" s="850" t="str">
        <f>IF(VLOOKUP("Soft ReCall",Data!$A$1390:$I$1390,5,FALSE)="On","X","-")</f>
        <v>-</v>
      </c>
      <c r="P22" s="851" t="str">
        <f>IF(VLOOKUP("Soft ReCall",Data!$A$1390:$I$1390,6,FALSE)="On","X","-")</f>
        <v>-</v>
      </c>
      <c r="Q22" s="850" t="str">
        <f>IF(VLOOKUP("Soft ReCall",Data!$A$1390:$I$1390,7,FALSE)="On","X","-")</f>
        <v>-</v>
      </c>
      <c r="R22" s="851" t="str">
        <f>IF(VLOOKUP("Soft ReCall",Data!$A$1390:$I$1390,8,FALSE)="On","X","-")</f>
        <v>-</v>
      </c>
      <c r="S22" s="852" t="str">
        <f>IF(VLOOKUP("Soft ReCall",Data!$A$1390:$I$1390,9,FALSE)="On","X","-")</f>
        <v>-</v>
      </c>
      <c r="T22" s="302">
        <v>19</v>
      </c>
      <c r="U22" s="877">
        <f>VLOOKUP("Ph Opt Table",Data!$A:$AW,20,FALSE)</f>
        <v>0</v>
      </c>
      <c r="V22" s="693">
        <f>VLOOKUP("Ph Time Table",Data!$A:$AW,20,FALSE)</f>
        <v>0</v>
      </c>
      <c r="W22" s="693">
        <f>VLOOKUP("Det Grp",Data!$A:$AW,20,FALSE)</f>
        <v>0</v>
      </c>
      <c r="X22" s="694">
        <f>VLOOKUP("Call Inh",Data!$A:$AW,20,FALSE)</f>
        <v>0</v>
      </c>
      <c r="Y22" s="885" t="str">
        <f>IF(VLOOKUP("Olp Off 1",Data!$A:$AW,20,FALSE)="On", "X", " ")</f>
        <v xml:space="preserve"> </v>
      </c>
      <c r="Z22" s="886" t="str">
        <f>IF(VLOOKUP("Olp Off 2",Data!$A:$AW,20,FALSE)="On", "X", " ")</f>
        <v xml:space="preserve"> </v>
      </c>
      <c r="AA22" s="886" t="str">
        <f>IF(VLOOKUP("Olp Off 3",Data!$A:$AW,20,FALSE)="On", "X", " ")</f>
        <v xml:space="preserve"> </v>
      </c>
      <c r="AB22" s="886" t="str">
        <f>IF(VLOOKUP("Olp Off 4",Data!$A:$AW,20,FALSE)="On", "X", " ")</f>
        <v xml:space="preserve"> </v>
      </c>
      <c r="AC22" s="886" t="str">
        <f>IF(VLOOKUP("Olp Off 5",Data!$A:$AW,20,FALSE)="On", "X", " ")</f>
        <v xml:space="preserve"> </v>
      </c>
      <c r="AD22" s="886" t="str">
        <f>IF(VLOOKUP("Olp Off 6",Data!$A:$AW,20,FALSE)="On", "X", " ")</f>
        <v xml:space="preserve"> </v>
      </c>
      <c r="AE22" s="886" t="str">
        <f>IF(VLOOKUP("Olp Off 7",Data!$A:$AW,20,FALSE)="On", "X", " ")</f>
        <v xml:space="preserve"> </v>
      </c>
      <c r="AF22" s="887" t="str">
        <f>IF(VLOOKUP("Olp Off 8",Data!$A:$AW,20,FALSE)="On", "X", " ")</f>
        <v xml:space="preserve"> </v>
      </c>
      <c r="AG22" s="896">
        <f>VLOOKUP("ASC",Data!$A:$AW,20,FALSE)</f>
        <v>0</v>
      </c>
      <c r="AH22" s="897" t="str">
        <f>VLOOKUP("CNA",Data!$A:$AW,20,FALSE)</f>
        <v>Off</v>
      </c>
      <c r="AI22" s="902" t="str">
        <f>IF(VLOOKUP("Max 2",Data!$A$1250:$AW$1283,20,FALSE)="On", "X", " ")</f>
        <v xml:space="preserve"> </v>
      </c>
      <c r="AJ22" s="903" t="str">
        <f>VLOOKUP("Dia Mode",Data!$A:$AW,20,FALSE)</f>
        <v>DFT</v>
      </c>
      <c r="AK22" s="82"/>
      <c r="AL22" s="82"/>
      <c r="AM22" s="82"/>
    </row>
    <row r="23" spans="1:41" s="91" customFormat="1" ht="12" customHeight="1">
      <c r="A23" s="1934"/>
      <c r="B23" s="1577"/>
      <c r="C23" s="1577"/>
      <c r="D23" s="1577"/>
      <c r="E23" s="1577"/>
      <c r="F23" s="1577"/>
      <c r="G23" s="1577"/>
      <c r="H23" s="1577"/>
      <c r="I23" s="1577"/>
      <c r="J23" s="97"/>
      <c r="K23" s="198" t="s">
        <v>325</v>
      </c>
      <c r="L23" s="849" t="str">
        <f>IF(VLOOKUP("Dual Entry",Data!$A$1379:$I$1379,2,FALSE)="On","X","-")</f>
        <v>-</v>
      </c>
      <c r="M23" s="850" t="str">
        <f>IF(VLOOKUP("Dual Entry",Data!$A$1379:$I$1379,3,FALSE)="On","X","-")</f>
        <v>-</v>
      </c>
      <c r="N23" s="851" t="str">
        <f>IF(VLOOKUP("Dual Entry",Data!$A$1379:$I$1379,4,FALSE)="On","X","-")</f>
        <v>-</v>
      </c>
      <c r="O23" s="850" t="str">
        <f>IF(VLOOKUP("Dual Entry",Data!$A$1379:$I$1379,5,FALSE)="On","X","-")</f>
        <v>-</v>
      </c>
      <c r="P23" s="851" t="str">
        <f>IF(VLOOKUP("Dual Entry",Data!$A$1379:$I$1379,6,FALSE)="On","X","-")</f>
        <v>-</v>
      </c>
      <c r="Q23" s="850" t="str">
        <f>IF(VLOOKUP("Dual Entry",Data!$A$1379:$I$1379,7,FALSE)="On","X","-")</f>
        <v>-</v>
      </c>
      <c r="R23" s="851" t="str">
        <f>IF(VLOOKUP("Dual Entry",Data!$A$1379:$I$1379,8,FALSE)="On","X","-")</f>
        <v>-</v>
      </c>
      <c r="S23" s="852" t="str">
        <f>IF(VLOOKUP("Dual Entry",Data!$A$1379:$I$1379,9,FALSE)="On","X","-")</f>
        <v>-</v>
      </c>
      <c r="T23" s="303">
        <v>20</v>
      </c>
      <c r="U23" s="878">
        <f>VLOOKUP("Ph Opt Table",Data!$A:$AW,21,FALSE)</f>
        <v>0</v>
      </c>
      <c r="V23" s="690">
        <f>VLOOKUP("Ph Time Table",Data!$A:$AW,21,FALSE)</f>
        <v>0</v>
      </c>
      <c r="W23" s="690">
        <f>VLOOKUP("Det Grp",Data!$A:$AW,21,FALSE)</f>
        <v>0</v>
      </c>
      <c r="X23" s="691">
        <f>VLOOKUP("Call Inh",Data!$A:$AW,21,FALSE)</f>
        <v>0</v>
      </c>
      <c r="Y23" s="885" t="str">
        <f>IF(VLOOKUP("Olp Off 1",Data!$A:$AW,21,FALSE)="On", "X", " ")</f>
        <v xml:space="preserve"> </v>
      </c>
      <c r="Z23" s="886" t="str">
        <f>IF(VLOOKUP("Olp Off 2",Data!$A:$AW,21,FALSE)="On", "X", " ")</f>
        <v xml:space="preserve"> </v>
      </c>
      <c r="AA23" s="886" t="str">
        <f>IF(VLOOKUP("Olp Off 3",Data!$A:$AW,21,FALSE)="On", "X", " ")</f>
        <v xml:space="preserve"> </v>
      </c>
      <c r="AB23" s="886" t="str">
        <f>IF(VLOOKUP("Olp Off 4",Data!$A:$AW,21,FALSE)="On", "X", " ")</f>
        <v xml:space="preserve"> </v>
      </c>
      <c r="AC23" s="886" t="str">
        <f>IF(VLOOKUP("Olp Off 5",Data!$A:$AW,21,FALSE)="On", "X", " ")</f>
        <v xml:space="preserve"> </v>
      </c>
      <c r="AD23" s="886" t="str">
        <f>IF(VLOOKUP("Olp Off 6",Data!$A:$AW,21,FALSE)="On", "X", " ")</f>
        <v xml:space="preserve"> </v>
      </c>
      <c r="AE23" s="886" t="str">
        <f>IF(VLOOKUP("Olp Off 7",Data!$A:$AW,21,FALSE)="On", "X", " ")</f>
        <v xml:space="preserve"> </v>
      </c>
      <c r="AF23" s="887" t="str">
        <f>IF(VLOOKUP("Olp Off 8",Data!$A:$AW,21,FALSE)="On", "X", " ")</f>
        <v xml:space="preserve"> </v>
      </c>
      <c r="AG23" s="896">
        <f>VLOOKUP("ASC",Data!$A:$AW,21,FALSE)</f>
        <v>0</v>
      </c>
      <c r="AH23" s="897" t="str">
        <f>VLOOKUP("CNA",Data!$A:$AW,21,FALSE)</f>
        <v>Off</v>
      </c>
      <c r="AI23" s="904" t="str">
        <f>IF(VLOOKUP("Max 2",Data!$A$1250:$AW$1283,21,FALSE)="On", "X", " ")</f>
        <v xml:space="preserve"> </v>
      </c>
      <c r="AJ23" s="905" t="str">
        <f>VLOOKUP("Dia Mode",Data!$A:$AW,21,FALSE)</f>
        <v>DFT</v>
      </c>
      <c r="AK23" s="82"/>
      <c r="AL23" s="82"/>
      <c r="AM23" s="82"/>
    </row>
    <row r="24" spans="1:41" s="91" customFormat="1" ht="12" customHeight="1">
      <c r="A24" s="240" t="s">
        <v>332</v>
      </c>
      <c r="B24" s="100"/>
      <c r="C24" s="100"/>
      <c r="D24" s="102"/>
      <c r="E24" s="102"/>
      <c r="F24" s="100"/>
      <c r="G24" s="100"/>
      <c r="H24" s="100"/>
      <c r="I24" s="100"/>
      <c r="J24" s="97"/>
      <c r="K24" s="198" t="s">
        <v>326</v>
      </c>
      <c r="L24" s="849" t="str">
        <f>IF(VLOOKUP("Sim Gap Enable",Data!$A$1389:$I$1389,2,FALSE)="On","X","-")</f>
        <v>-</v>
      </c>
      <c r="M24" s="850" t="str">
        <f>IF(VLOOKUP("Sim Gap Enable",Data!$A$1389:$I$1389,3,FALSE)="On","X","-")</f>
        <v>-</v>
      </c>
      <c r="N24" s="851" t="str">
        <f>IF(VLOOKUP("Sim Gap Enable",Data!$A$1389:$I$1389,4,FALSE)="On","X","-")</f>
        <v>-</v>
      </c>
      <c r="O24" s="850" t="str">
        <f>IF(VLOOKUP("Sim Gap Enable",Data!$A$1389:$I$1389,5,FALSE)="On","X","-")</f>
        <v>-</v>
      </c>
      <c r="P24" s="851" t="str">
        <f>IF(VLOOKUP("Sim Gap Enable",Data!$A$1389:$I$1389,6,FALSE)="On","X","-")</f>
        <v>-</v>
      </c>
      <c r="Q24" s="850" t="str">
        <f>IF(VLOOKUP("Sim Gap Enable",Data!$A$1389:$I$1389,7,FALSE)="On","X","-")</f>
        <v>-</v>
      </c>
      <c r="R24" s="851" t="str">
        <f>IF(VLOOKUP("Sim Gap Enable",Data!$A$1389:$I$1389,8,FALSE)="On","X","-")</f>
        <v>-</v>
      </c>
      <c r="S24" s="852" t="str">
        <f>IF(VLOOKUP("Sim Gap Enable",Data!$A$1389:$I$1389,9,FALSE)="On","X","-")</f>
        <v>-</v>
      </c>
      <c r="T24" s="302">
        <v>21</v>
      </c>
      <c r="U24" s="877">
        <f>VLOOKUP("Ph Opt Table",Data!$A:$AW,22,FALSE)</f>
        <v>0</v>
      </c>
      <c r="V24" s="693">
        <f>VLOOKUP("Ph Time Table",Data!$A:$AW,22,FALSE)</f>
        <v>0</v>
      </c>
      <c r="W24" s="693">
        <f>VLOOKUP("Det Grp",Data!$A:$AW,22,FALSE)</f>
        <v>0</v>
      </c>
      <c r="X24" s="694">
        <f>VLOOKUP("Call Inh",Data!$A:$AW,22,FALSE)</f>
        <v>0</v>
      </c>
      <c r="Y24" s="885" t="str">
        <f>IF(VLOOKUP("Olp Off 1",Data!$A:$AW,22,FALSE)="On", "X", " ")</f>
        <v xml:space="preserve"> </v>
      </c>
      <c r="Z24" s="886" t="str">
        <f>IF(VLOOKUP("Olp Off 2",Data!$A:$AW,22,FALSE)="On", "X", " ")</f>
        <v xml:space="preserve"> </v>
      </c>
      <c r="AA24" s="886" t="str">
        <f>IF(VLOOKUP("Olp Off 3",Data!$A:$AW,22,FALSE)="On", "X", " ")</f>
        <v xml:space="preserve"> </v>
      </c>
      <c r="AB24" s="886" t="str">
        <f>IF(VLOOKUP("Olp Off 4",Data!$A:$AW,22,FALSE)="On", "X", " ")</f>
        <v xml:space="preserve"> </v>
      </c>
      <c r="AC24" s="886" t="str">
        <f>IF(VLOOKUP("Olp Off 5",Data!$A:$AW,22,FALSE)="On", "X", " ")</f>
        <v xml:space="preserve"> </v>
      </c>
      <c r="AD24" s="886" t="str">
        <f>IF(VLOOKUP("Olp Off 6",Data!$A:$AW,22,FALSE)="On", "X", " ")</f>
        <v xml:space="preserve"> </v>
      </c>
      <c r="AE24" s="886" t="str">
        <f>IF(VLOOKUP("Olp Off 7",Data!$A:$AW,22,FALSE)="On", "X", " ")</f>
        <v xml:space="preserve"> </v>
      </c>
      <c r="AF24" s="887" t="str">
        <f>IF(VLOOKUP("Olp Off 8",Data!$A:$AW,22,FALSE)="On", "X", " ")</f>
        <v xml:space="preserve"> </v>
      </c>
      <c r="AG24" s="896">
        <f>VLOOKUP("ASC",Data!$A:$AW,22,FALSE)</f>
        <v>0</v>
      </c>
      <c r="AH24" s="897" t="str">
        <f>VLOOKUP("CNA",Data!$A:$AW,22,FALSE)</f>
        <v>Off</v>
      </c>
      <c r="AI24" s="902" t="str">
        <f>IF(VLOOKUP("Max 2",Data!$A$1250:$AW$1283,22,FALSE)="On", "X", " ")</f>
        <v xml:space="preserve"> </v>
      </c>
      <c r="AJ24" s="903" t="str">
        <f>VLOOKUP("Dia Mode",Data!$A:$AW,22,FALSE)</f>
        <v>DFT</v>
      </c>
      <c r="AK24" s="82"/>
      <c r="AL24" s="82"/>
      <c r="AM24" s="82"/>
    </row>
    <row r="25" spans="1:41" s="91" customFormat="1" ht="12" customHeight="1">
      <c r="A25" s="197" t="s">
        <v>315</v>
      </c>
      <c r="B25" s="55">
        <v>1</v>
      </c>
      <c r="C25" s="55">
        <v>2</v>
      </c>
      <c r="D25" s="55">
        <v>3</v>
      </c>
      <c r="E25" s="55">
        <v>4</v>
      </c>
      <c r="F25" s="55">
        <v>5</v>
      </c>
      <c r="G25" s="55">
        <v>6</v>
      </c>
      <c r="H25" s="55">
        <v>7</v>
      </c>
      <c r="I25" s="55">
        <v>8</v>
      </c>
      <c r="J25" s="97"/>
      <c r="K25" s="198" t="s">
        <v>327</v>
      </c>
      <c r="L25" s="849" t="str">
        <f>IF(VLOOKUP("Guar Passage",Data!$A$1380:$I$1380,2,FALSE)="On","X","-")</f>
        <v>-</v>
      </c>
      <c r="M25" s="850" t="str">
        <f>IF(VLOOKUP("Guar Passage",Data!$A$1380:$I$1380,3,FALSE)="On","X","-")</f>
        <v>-</v>
      </c>
      <c r="N25" s="851" t="str">
        <f>IF(VLOOKUP("Guar Passage",Data!$A$1380:$I$1380,4,FALSE)="On","X","-")</f>
        <v>-</v>
      </c>
      <c r="O25" s="850" t="str">
        <f>IF(VLOOKUP("Guar Passage",Data!$A$1380:$I$1380,5,FALSE)="On","X","-")</f>
        <v>-</v>
      </c>
      <c r="P25" s="851" t="str">
        <f>IF(VLOOKUP("Guar Passage",Data!$A$1380:$I$1380,6,FALSE)="On","X","-")</f>
        <v>-</v>
      </c>
      <c r="Q25" s="850" t="str">
        <f>IF(VLOOKUP("Guar Passage",Data!$A$1380:$I$1380,7,FALSE)="On","X","-")</f>
        <v>-</v>
      </c>
      <c r="R25" s="851" t="str">
        <f>IF(VLOOKUP("Guar Passage",Data!$A$1380:$I$1380,8,FALSE)="On","X","-")</f>
        <v>-</v>
      </c>
      <c r="S25" s="852" t="str">
        <f>IF(VLOOKUP("Guar Passage",Data!$A$1380:$I$1380,9,FALSE)="On","X","-")</f>
        <v>-</v>
      </c>
      <c r="T25" s="303">
        <v>22</v>
      </c>
      <c r="U25" s="878">
        <f>VLOOKUP("Ph Opt Table",Data!$A:$AW,23,FALSE)</f>
        <v>0</v>
      </c>
      <c r="V25" s="690">
        <f>VLOOKUP("Ph Time Table",Data!$A:$AW,23,FALSE)</f>
        <v>0</v>
      </c>
      <c r="W25" s="690">
        <f>VLOOKUP("Det Grp",Data!$A:$AW,23,FALSE)</f>
        <v>0</v>
      </c>
      <c r="X25" s="691">
        <f>VLOOKUP("Call Inh",Data!$A:$AW,23,FALSE)</f>
        <v>0</v>
      </c>
      <c r="Y25" s="885" t="str">
        <f>IF(VLOOKUP("Olp Off 1",Data!$A:$AW,23,FALSE)="On", "X", " ")</f>
        <v xml:space="preserve"> </v>
      </c>
      <c r="Z25" s="886" t="str">
        <f>IF(VLOOKUP("Olp Off 2",Data!$A:$AW,23,FALSE)="On", "X", " ")</f>
        <v xml:space="preserve"> </v>
      </c>
      <c r="AA25" s="886" t="str">
        <f>IF(VLOOKUP("Olp Off 3",Data!$A:$AW,23,FALSE)="On", "X", " ")</f>
        <v xml:space="preserve"> </v>
      </c>
      <c r="AB25" s="886" t="str">
        <f>IF(VLOOKUP("Olp Off 4",Data!$A:$AW,23,FALSE)="On", "X", " ")</f>
        <v xml:space="preserve"> </v>
      </c>
      <c r="AC25" s="886" t="str">
        <f>IF(VLOOKUP("Olp Off 5",Data!$A:$AW,23,FALSE)="On", "X", " ")</f>
        <v xml:space="preserve"> </v>
      </c>
      <c r="AD25" s="886" t="str">
        <f>IF(VLOOKUP("Olp Off 6",Data!$A:$AW,23,FALSE)="On", "X", " ")</f>
        <v xml:space="preserve"> </v>
      </c>
      <c r="AE25" s="886" t="str">
        <f>IF(VLOOKUP("Olp Off 7",Data!$A:$AW,23,FALSE)="On", "X", " ")</f>
        <v xml:space="preserve"> </v>
      </c>
      <c r="AF25" s="887" t="str">
        <f>IF(VLOOKUP("Olp Off 8",Data!$A:$AW,23,FALSE)="On", "X", " ")</f>
        <v xml:space="preserve"> </v>
      </c>
      <c r="AG25" s="896">
        <f>VLOOKUP("ASC",Data!$A:$AW,23,FALSE)</f>
        <v>0</v>
      </c>
      <c r="AH25" s="897" t="str">
        <f>VLOOKUP("CNA",Data!$A:$AW,23,FALSE)</f>
        <v>Off</v>
      </c>
      <c r="AI25" s="904" t="str">
        <f>IF(VLOOKUP("Max 2",Data!$A$1250:$AW$1283,23,FALSE)="On", "X", " ")</f>
        <v xml:space="preserve"> </v>
      </c>
      <c r="AJ25" s="905" t="str">
        <f>VLOOKUP("Dia Mode",Data!$A:$AW,23,FALSE)</f>
        <v>DFT</v>
      </c>
      <c r="AK25" s="82"/>
      <c r="AL25" s="82"/>
      <c r="AM25" s="82"/>
    </row>
    <row r="26" spans="1:41" s="91" customFormat="1" ht="12" customHeight="1">
      <c r="A26" s="197" t="s">
        <v>324</v>
      </c>
      <c r="B26" s="952">
        <f>VLOOKUP("Assign Ph",Data!$A$1511:$AT$1522,2,FALSE)</f>
        <v>0</v>
      </c>
      <c r="C26" s="952">
        <f>VLOOKUP("Assign Ph",Data!$A$1511:$AT$1522,3,FALSE)</f>
        <v>0</v>
      </c>
      <c r="D26" s="952">
        <f>VLOOKUP("Assign Ph",Data!$A$1511:$AT$1522,4,FALSE)</f>
        <v>0</v>
      </c>
      <c r="E26" s="952">
        <f>VLOOKUP("Assign Ph",Data!$A$1511:$AT$1522,5,FALSE)</f>
        <v>0</v>
      </c>
      <c r="F26" s="952">
        <f>VLOOKUP("Assign Ph",Data!$A$1511:$AT$1522,6,FALSE)</f>
        <v>0</v>
      </c>
      <c r="G26" s="952">
        <f>VLOOKUP("Assign Ph",Data!$A$1511:$AT$1522,7,FALSE)</f>
        <v>0</v>
      </c>
      <c r="H26" s="952">
        <f>VLOOKUP("Assign Ph",Data!$A$1511:$AT$1522,8,FALSE)</f>
        <v>0</v>
      </c>
      <c r="I26" s="952">
        <f>VLOOKUP("Assign Ph",Data!$A$1511:$AT$1522,9,FALSE)</f>
        <v>0</v>
      </c>
      <c r="J26" s="97"/>
      <c r="K26" s="198" t="s">
        <v>121</v>
      </c>
      <c r="L26" s="849" t="str">
        <f>IF(VLOOKUP("Rest In Walk",Data!$A$1388:$I$1388,2,FALSE)="On","X","-")</f>
        <v>-</v>
      </c>
      <c r="M26" s="850" t="str">
        <f>IF(VLOOKUP("Rest In Walk",Data!$A$1388:$I$1388,3,FALSE)="On","X","-")</f>
        <v>-</v>
      </c>
      <c r="N26" s="851" t="str">
        <f>IF(VLOOKUP("Rest In Walk",Data!$A$1388:$I$1388,4,FALSE)="On","X","-")</f>
        <v>-</v>
      </c>
      <c r="O26" s="850" t="str">
        <f>IF(VLOOKUP("Rest In Walk",Data!$A$1388:$I$1388,5,FALSE)="On","X","-")</f>
        <v>-</v>
      </c>
      <c r="P26" s="851" t="str">
        <f>IF(VLOOKUP("Rest In Walk",Data!$A$1388:$I$1388,6,FALSE)="On","X","-")</f>
        <v>-</v>
      </c>
      <c r="Q26" s="850" t="str">
        <f>IF(VLOOKUP("Rest In Walk",Data!$A$1388:$I$1388,7,FALSE)="On","X","-")</f>
        <v>-</v>
      </c>
      <c r="R26" s="851" t="str">
        <f>IF(VLOOKUP("Rest In Walk",Data!$A$1388:$I$1388,8,FALSE)="On","X","-")</f>
        <v>-</v>
      </c>
      <c r="S26" s="852" t="str">
        <f>IF(VLOOKUP("Rest In Walk",Data!$A$1388:$I$1388,9,FALSE)="On","X","-")</f>
        <v>-</v>
      </c>
      <c r="T26" s="302">
        <v>23</v>
      </c>
      <c r="U26" s="877">
        <f>VLOOKUP("Ph Opt Table",Data!$A:$AW,24,FALSE)</f>
        <v>0</v>
      </c>
      <c r="V26" s="693">
        <f>VLOOKUP("Ph Time Table",Data!$A:$AW,24,FALSE)</f>
        <v>0</v>
      </c>
      <c r="W26" s="693">
        <f>VLOOKUP("Det Grp",Data!$A:$AW,24,FALSE)</f>
        <v>0</v>
      </c>
      <c r="X26" s="694">
        <f>VLOOKUP("Call Inh",Data!$A:$AW,24,FALSE)</f>
        <v>0</v>
      </c>
      <c r="Y26" s="888" t="str">
        <f>IF(VLOOKUP("Olp Off 1",Data!$A:$AW,24,FALSE)="On", "X", " ")</f>
        <v xml:space="preserve"> </v>
      </c>
      <c r="Z26" s="889" t="str">
        <f>IF(VLOOKUP("Olp Off 2",Data!$A:$AW,24,FALSE)="On", "X", " ")</f>
        <v xml:space="preserve"> </v>
      </c>
      <c r="AA26" s="889" t="str">
        <f>IF(VLOOKUP("Olp Off 3",Data!$A:$AW,24,FALSE)="On", "X", " ")</f>
        <v xml:space="preserve"> </v>
      </c>
      <c r="AB26" s="889" t="str">
        <f>IF(VLOOKUP("Olp Off 4",Data!$A:$AW,24,FALSE)="On", "X", " ")</f>
        <v xml:space="preserve"> </v>
      </c>
      <c r="AC26" s="889" t="str">
        <f>IF(VLOOKUP("Olp Off 5",Data!$A:$AW,24,FALSE)="On", "X", " ")</f>
        <v xml:space="preserve"> </v>
      </c>
      <c r="AD26" s="889" t="str">
        <f>IF(VLOOKUP("Olp Off 6",Data!$A:$AW,24,FALSE)="On", "X", " ")</f>
        <v xml:space="preserve"> </v>
      </c>
      <c r="AE26" s="889" t="str">
        <f>IF(VLOOKUP("Olp Off 7",Data!$A:$AW,24,FALSE)="On", "X", " ")</f>
        <v xml:space="preserve"> </v>
      </c>
      <c r="AF26" s="890" t="str">
        <f>IF(VLOOKUP("Olp Off 8",Data!$A:$AW,24,FALSE)="On", "X", " ")</f>
        <v xml:space="preserve"> </v>
      </c>
      <c r="AG26" s="896">
        <f>VLOOKUP("ASC",Data!$A:$AW,24,FALSE)</f>
        <v>0</v>
      </c>
      <c r="AH26" s="897" t="str">
        <f>VLOOKUP("CNA",Data!$A:$AW,24,FALSE)</f>
        <v>Off</v>
      </c>
      <c r="AI26" s="902" t="str">
        <f>IF(VLOOKUP("Max 2",Data!$A$1250:$AW$1283,24,FALSE)="On", "X", " ")</f>
        <v xml:space="preserve"> </v>
      </c>
      <c r="AJ26" s="903" t="str">
        <f>VLOOKUP("Dia Mode",Data!$A:$AW,24,FALSE)</f>
        <v>DFT</v>
      </c>
      <c r="AK26" s="82"/>
      <c r="AL26" s="82"/>
      <c r="AM26" s="82"/>
    </row>
    <row r="27" spans="1:41" s="91" customFormat="1" ht="12" customHeight="1" thickBot="1">
      <c r="A27" s="99" t="s">
        <v>37</v>
      </c>
      <c r="B27" s="953">
        <f>VLOOKUP("Min Green",Data!$A$1511:$AT$1522,2,FALSE)</f>
        <v>0</v>
      </c>
      <c r="C27" s="953">
        <f>VLOOKUP("Min Green",Data!$A$1511:$AT$1522,3,FALSE)</f>
        <v>0</v>
      </c>
      <c r="D27" s="953">
        <f>VLOOKUP("Min Green",Data!$A$1511:$AT$1522,4,FALSE)</f>
        <v>0</v>
      </c>
      <c r="E27" s="953">
        <f>VLOOKUP("Min Green",Data!$A$1511:$AT$1522,5,FALSE)</f>
        <v>0</v>
      </c>
      <c r="F27" s="953">
        <f>VLOOKUP("Min Green",Data!$A$1511:$AT$1522,6,FALSE)</f>
        <v>0</v>
      </c>
      <c r="G27" s="953">
        <f>VLOOKUP("Min Green",Data!$A$1511:$AT$1522,7,FALSE)</f>
        <v>0</v>
      </c>
      <c r="H27" s="953">
        <f>VLOOKUP("Min Green",Data!$A$1511:$AT$1522,8,FALSE)</f>
        <v>0</v>
      </c>
      <c r="I27" s="953">
        <f>VLOOKUP("Min Green",Data!$A$1511:$AT$1522,9,FALSE)</f>
        <v>0</v>
      </c>
      <c r="J27" s="97"/>
      <c r="K27" s="198" t="s">
        <v>111</v>
      </c>
      <c r="L27" s="849" t="str">
        <f>IF(VLOOKUP("Cond Service",Data!$A$1376:$I$1376,2,FALSE)="On","X","-")</f>
        <v>-</v>
      </c>
      <c r="M27" s="850" t="str">
        <f>IF(VLOOKUP("Cond Service",Data!$A$1376:$I$1376,3,FALSE)="On","X","-")</f>
        <v>-</v>
      </c>
      <c r="N27" s="851" t="str">
        <f>IF(VLOOKUP("Cond Service",Data!$A$1376:$I$1376,4,FALSE)="On","X","-")</f>
        <v>-</v>
      </c>
      <c r="O27" s="850" t="str">
        <f>IF(VLOOKUP("Cond Service",Data!$A$1376:$I$1376,5,FALSE)="On","X","-")</f>
        <v>-</v>
      </c>
      <c r="P27" s="851" t="str">
        <f>IF(VLOOKUP("Cond Service",Data!$A$1376:$I$1376,6,FALSE)="On","X","-")</f>
        <v>-</v>
      </c>
      <c r="Q27" s="850" t="str">
        <f>IF(VLOOKUP("Cond Service",Data!$A$1376:$I$1376,7,FALSE)="On","X","-")</f>
        <v>-</v>
      </c>
      <c r="R27" s="851" t="str">
        <f>IF(VLOOKUP("Cond Service",Data!$A$1376:$I$1376,8,FALSE)="On","X","-")</f>
        <v>-</v>
      </c>
      <c r="S27" s="852" t="str">
        <f>IF(VLOOKUP("Cond Service",Data!$A$1376:$I$1376,9,FALSE)="On","X","-")</f>
        <v>-</v>
      </c>
      <c r="T27" s="305">
        <v>24</v>
      </c>
      <c r="U27" s="879">
        <f>VLOOKUP("Ph Opt Table",Data!$A:$AW,25,FALSE)</f>
        <v>0</v>
      </c>
      <c r="V27" s="880">
        <f>VLOOKUP("Ph Time Table",Data!$A:$AW,25,FALSE)</f>
        <v>0</v>
      </c>
      <c r="W27" s="880">
        <f>VLOOKUP("Det Grp",Data!$A:$AW,25,FALSE)</f>
        <v>0</v>
      </c>
      <c r="X27" s="881">
        <f>VLOOKUP("Call Inh",Data!$A:$AW,25,FALSE)</f>
        <v>0</v>
      </c>
      <c r="Y27" s="891" t="str">
        <f>IF(VLOOKUP("Olp Off 1",Data!$A:$AW,25,FALSE)="On", "X", " ")</f>
        <v xml:space="preserve"> </v>
      </c>
      <c r="Z27" s="892" t="str">
        <f>IF(VLOOKUP("Olp Off 2",Data!$A:$AW,25,FALSE)="On", "X", " ")</f>
        <v xml:space="preserve"> </v>
      </c>
      <c r="AA27" s="892" t="str">
        <f>IF(VLOOKUP("Olp Off 3",Data!$A:$AW,25,FALSE)="On", "X", " ")</f>
        <v xml:space="preserve"> </v>
      </c>
      <c r="AB27" s="892" t="str">
        <f>IF(VLOOKUP("Olp Off 4",Data!$A:$AW,25,FALSE)="On", "X", " ")</f>
        <v xml:space="preserve"> </v>
      </c>
      <c r="AC27" s="892" t="str">
        <f>IF(VLOOKUP("Olp Off 5",Data!$A:$AW,25,FALSE)="On", "X", " ")</f>
        <v xml:space="preserve"> </v>
      </c>
      <c r="AD27" s="892" t="str">
        <f>IF(VLOOKUP("Olp Off 6",Data!$A:$AW,25,FALSE)="On", "X", " ")</f>
        <v xml:space="preserve"> </v>
      </c>
      <c r="AE27" s="892" t="str">
        <f>IF(VLOOKUP("Olp Off 7",Data!$A:$AW,25,FALSE)="On", "X", " ")</f>
        <v xml:space="preserve"> </v>
      </c>
      <c r="AF27" s="893" t="str">
        <f>IF(VLOOKUP("Olp Off 8",Data!$A:$AW,25,FALSE)="On", "X", " ")</f>
        <v xml:space="preserve"> </v>
      </c>
      <c r="AG27" s="898">
        <f>VLOOKUP("ASC",Data!$A:$AW,25,FALSE)</f>
        <v>0</v>
      </c>
      <c r="AH27" s="899" t="str">
        <f>VLOOKUP("CNA",Data!$A:$AW,25,FALSE)</f>
        <v>Off</v>
      </c>
      <c r="AI27" s="906" t="str">
        <f>IF(VLOOKUP("Max 2",Data!$A$1250:$AW$1283,25,FALSE)="On", "X", " ")</f>
        <v xml:space="preserve"> </v>
      </c>
      <c r="AJ27" s="907" t="str">
        <f>VLOOKUP("Dia Mode",Data!$A:$AW,25,FALSE)</f>
        <v>DFT</v>
      </c>
      <c r="AK27" s="82"/>
      <c r="AL27" s="82"/>
      <c r="AM27" s="82"/>
    </row>
    <row r="28" spans="1:41" s="91" customFormat="1" ht="12" customHeight="1">
      <c r="A28" s="99" t="s">
        <v>142</v>
      </c>
      <c r="B28" s="953">
        <f>VLOOKUP("Gap Ext",Data!$A$1511:$AT$1522,2,FALSE)</f>
        <v>0</v>
      </c>
      <c r="C28" s="953">
        <f>VLOOKUP("Gap Ext",Data!$A$1511:$AT$1522,3,FALSE)</f>
        <v>0</v>
      </c>
      <c r="D28" s="953">
        <f>VLOOKUP("Gap Ext",Data!$A$1511:$AT$1522,4,FALSE)</f>
        <v>0</v>
      </c>
      <c r="E28" s="953">
        <f>VLOOKUP("Gap Ext",Data!$A$1511:$AT$1522,5,FALSE)</f>
        <v>0</v>
      </c>
      <c r="F28" s="953">
        <f>VLOOKUP("Gap Ext",Data!$A$1511:$AT$1522,6,FALSE)</f>
        <v>0</v>
      </c>
      <c r="G28" s="953">
        <f>VLOOKUP("Gap Ext",Data!$A$1511:$AT$1522,7,FALSE)</f>
        <v>0</v>
      </c>
      <c r="H28" s="953">
        <f>VLOOKUP("Gap Ext",Data!$A$1511:$AT$1522,8,FALSE)</f>
        <v>0</v>
      </c>
      <c r="I28" s="953">
        <f>VLOOKUP("Gap Ext",Data!$A$1511:$AT$1522,9,FALSE)</f>
        <v>0</v>
      </c>
      <c r="J28" s="97"/>
      <c r="K28" s="198" t="s">
        <v>48</v>
      </c>
      <c r="L28" s="849" t="str">
        <f>IF(VLOOKUP("Reservice",Data!$A$1387:$I$1387,2,FALSE)="On","X","-")</f>
        <v>-</v>
      </c>
      <c r="M28" s="850" t="str">
        <f>IF(VLOOKUP("Reservice",Data!$A$1387:$I$1387,3,FALSE)="On","X","-")</f>
        <v>-</v>
      </c>
      <c r="N28" s="851" t="str">
        <f>IF(VLOOKUP("Reservice",Data!$A$1387:$I$1387,4,FALSE)="On","X","-")</f>
        <v>-</v>
      </c>
      <c r="O28" s="850" t="str">
        <f>IF(VLOOKUP("Reservice",Data!$A$1387:$I$1387,5,FALSE)="On","X","-")</f>
        <v>-</v>
      </c>
      <c r="P28" s="851" t="str">
        <f>IF(VLOOKUP("Reservice",Data!$A$1387:$I$1387,6,FALSE)="On","X","-")</f>
        <v>-</v>
      </c>
      <c r="Q28" s="850" t="str">
        <f>IF(VLOOKUP("Reservice",Data!$A$1387:$I$1387,7,FALSE)="On","X","-")</f>
        <v>-</v>
      </c>
      <c r="R28" s="851" t="str">
        <f>IF(VLOOKUP("Reservice",Data!$A$1387:$I$1387,8,FALSE)="On","X","-")</f>
        <v>-</v>
      </c>
      <c r="S28" s="852" t="str">
        <f>IF(VLOOKUP("Reservice",Data!$A$1387:$I$1387,9,FALSE)="On","X","-")</f>
        <v>-</v>
      </c>
      <c r="T28" s="2434"/>
      <c r="U28" s="2435"/>
      <c r="V28" s="2435"/>
      <c r="W28" s="2435"/>
      <c r="X28" s="2435"/>
      <c r="Y28" s="2435"/>
      <c r="Z28" s="2435"/>
      <c r="AA28" s="2435"/>
      <c r="AB28" s="2435"/>
      <c r="AC28" s="2435"/>
      <c r="AD28" s="2435"/>
      <c r="AE28" s="2435"/>
      <c r="AF28" s="2435"/>
      <c r="AG28" s="2435"/>
      <c r="AH28" s="2435"/>
      <c r="AI28" s="2435"/>
      <c r="AJ28" s="2436"/>
      <c r="AK28" s="82"/>
      <c r="AL28" s="82"/>
      <c r="AM28" s="82"/>
    </row>
    <row r="29" spans="1:41" s="91" customFormat="1" ht="12" customHeight="1">
      <c r="A29" s="99" t="s">
        <v>38</v>
      </c>
      <c r="B29" s="953">
        <f>VLOOKUP("Max1",Data!$A$1511:$AT$1522,2,FALSE)</f>
        <v>0</v>
      </c>
      <c r="C29" s="953">
        <f>VLOOKUP("Max1",Data!$A$1511:$AT$1522,3,FALSE)</f>
        <v>0</v>
      </c>
      <c r="D29" s="953">
        <f>VLOOKUP("Max1",Data!$A$1511:$AT$1522,4,FALSE)</f>
        <v>0</v>
      </c>
      <c r="E29" s="953">
        <f>VLOOKUP("Max1",Data!$A$1511:$AT$1522,5,FALSE)</f>
        <v>0</v>
      </c>
      <c r="F29" s="953">
        <f>VLOOKUP("Max1",Data!$A$1511:$AT$1522,6,FALSE)</f>
        <v>0</v>
      </c>
      <c r="G29" s="953">
        <f>VLOOKUP("Max1",Data!$A$1511:$AT$1522,7,FALSE)</f>
        <v>0</v>
      </c>
      <c r="H29" s="953">
        <f>VLOOKUP("Max1",Data!$A$1511:$AT$1522,8,FALSE)</f>
        <v>0</v>
      </c>
      <c r="I29" s="953">
        <f>VLOOKUP("Max1",Data!$A$1511:$AT$1522,9,FALSE)</f>
        <v>0</v>
      </c>
      <c r="J29" s="97"/>
      <c r="K29" s="198" t="s">
        <v>329</v>
      </c>
      <c r="L29" s="849" t="str">
        <f>IF(VLOOKUP("Non Act1",Data!$A$1384:$I$1384,2,FALSE)="On","X","-")</f>
        <v>-</v>
      </c>
      <c r="M29" s="850" t="str">
        <f>IF(VLOOKUP("Non Act1",Data!$A$1384:$I$1384,3,FALSE)="On","X","-")</f>
        <v>-</v>
      </c>
      <c r="N29" s="851" t="str">
        <f>IF(VLOOKUP("Non Act1",Data!$A$1384:$I$1384,4,FALSE)="On","X","-")</f>
        <v>-</v>
      </c>
      <c r="O29" s="850" t="str">
        <f>IF(VLOOKUP("Non Act1",Data!$A$1384:$I$1384,5,FALSE)="On","X","-")</f>
        <v>-</v>
      </c>
      <c r="P29" s="851" t="str">
        <f>IF(VLOOKUP("Non Act1",Data!$A$1384:$I$1384,6,FALSE)="On","X","-")</f>
        <v>-</v>
      </c>
      <c r="Q29" s="850" t="str">
        <f>IF(VLOOKUP("Non Act1",Data!$A$1384:$I$1384,7,FALSE)="On","X","-")</f>
        <v>-</v>
      </c>
      <c r="R29" s="851" t="str">
        <f>IF(VLOOKUP("Non Act1",Data!$A$1384:$I$1384,8,FALSE)="On","X","-")</f>
        <v>-</v>
      </c>
      <c r="S29" s="852" t="str">
        <f>IF(VLOOKUP("Non Act1",Data!$A$1384:$I$1384,9,FALSE)="On","X","-")</f>
        <v>-</v>
      </c>
      <c r="T29" s="243" t="s">
        <v>642</v>
      </c>
      <c r="U29" s="140"/>
      <c r="V29" s="140"/>
      <c r="W29" s="140"/>
      <c r="X29" s="30"/>
      <c r="Y29" s="30"/>
      <c r="Z29" s="30"/>
      <c r="AA29" s="30"/>
      <c r="AB29" s="30"/>
      <c r="AC29" s="30"/>
      <c r="AD29" s="30"/>
      <c r="AE29" s="30"/>
      <c r="AF29" s="30"/>
      <c r="AG29" s="103"/>
      <c r="AH29" s="103"/>
      <c r="AI29" s="103"/>
      <c r="AJ29" s="104"/>
      <c r="AK29" s="82"/>
      <c r="AL29" s="82"/>
      <c r="AM29" s="82"/>
    </row>
    <row r="30" spans="1:41" s="91" customFormat="1" ht="12" customHeight="1">
      <c r="A30" s="99" t="s">
        <v>39</v>
      </c>
      <c r="B30" s="953">
        <f>VLOOKUP("Max2",Data!$A$1511:$AT$1522,2,FALSE)</f>
        <v>0</v>
      </c>
      <c r="C30" s="953">
        <f>VLOOKUP("Max2",Data!$A$1511:$AT$1522,3,FALSE)</f>
        <v>0</v>
      </c>
      <c r="D30" s="953">
        <f>VLOOKUP("Max2",Data!$A$1511:$AT$1522,4,FALSE)</f>
        <v>0</v>
      </c>
      <c r="E30" s="953">
        <f>VLOOKUP("Max2",Data!$A$1511:$AT$1522,5,FALSE)</f>
        <v>0</v>
      </c>
      <c r="F30" s="953">
        <f>VLOOKUP("Max2",Data!$A$1511:$AT$1522,6,FALSE)</f>
        <v>0</v>
      </c>
      <c r="G30" s="953">
        <f>VLOOKUP("Max2",Data!$A$1511:$AT$1522,7,FALSE)</f>
        <v>0</v>
      </c>
      <c r="H30" s="953">
        <f>VLOOKUP("Max2",Data!$A$1511:$AT$1522,8,FALSE)</f>
        <v>0</v>
      </c>
      <c r="I30" s="953">
        <f>VLOOKUP("Max2",Data!$A$1511:$AT$1522,9,FALSE)</f>
        <v>0</v>
      </c>
      <c r="J30" s="97"/>
      <c r="K30" s="198" t="s">
        <v>126</v>
      </c>
      <c r="L30" s="849" t="str">
        <f>IF(VLOOKUP("Red Rest",Data!$A$1386:$I$1386,2,FALSE)="On","X","-")</f>
        <v>-</v>
      </c>
      <c r="M30" s="850" t="str">
        <f>IF(VLOOKUP("Red Rest",Data!$A$1386:$I$1386,3,FALSE)="On","X","-")</f>
        <v>-</v>
      </c>
      <c r="N30" s="851" t="str">
        <f>IF(VLOOKUP("Red Rest",Data!$A$1386:$I$1386,4,FALSE)="On","X","-")</f>
        <v>-</v>
      </c>
      <c r="O30" s="850" t="str">
        <f>IF(VLOOKUP("Red Rest",Data!$A$1386:$I$1386,5,FALSE)="On","X","-")</f>
        <v>-</v>
      </c>
      <c r="P30" s="851" t="str">
        <f>IF(VLOOKUP("Red Rest",Data!$A$1386:$I$1386,6,FALSE)="On","X","-")</f>
        <v>-</v>
      </c>
      <c r="Q30" s="850" t="str">
        <f>IF(VLOOKUP("Red Rest",Data!$A$1386:$I$1386,7,FALSE)="On","X","-")</f>
        <v>-</v>
      </c>
      <c r="R30" s="851" t="str">
        <f>IF(VLOOKUP("Red Rest",Data!$A$1386:$I$1386,8,FALSE)="On","X","-")</f>
        <v>-</v>
      </c>
      <c r="S30" s="868" t="str">
        <f>IF(VLOOKUP("Red Rest",Data!$A$1386:$I$1386,9,FALSE)="On","X","-")</f>
        <v>-</v>
      </c>
      <c r="T30" s="2441" t="s">
        <v>643</v>
      </c>
      <c r="U30" s="2442"/>
      <c r="V30" s="2442"/>
      <c r="W30" s="2442"/>
      <c r="X30" s="2440" t="str">
        <f>VLOOKUP("Daylight Savings",Data!$A$2709:$B$2719,2,FALSE)</f>
        <v>ENABLE</v>
      </c>
      <c r="Y30" s="2440"/>
      <c r="Z30" s="2440"/>
      <c r="AA30" s="2440"/>
      <c r="AB30" s="30"/>
      <c r="AC30" s="30"/>
      <c r="AD30" s="30"/>
      <c r="AE30" s="30"/>
      <c r="AF30" s="30"/>
      <c r="AG30" s="103"/>
      <c r="AH30" s="103"/>
      <c r="AI30" s="103"/>
      <c r="AJ30" s="104"/>
      <c r="AK30" s="82"/>
      <c r="AL30" s="82"/>
      <c r="AM30" s="82"/>
    </row>
    <row r="31" spans="1:41" s="91" customFormat="1" ht="12" customHeight="1">
      <c r="A31" s="99" t="s">
        <v>40</v>
      </c>
      <c r="B31" s="953">
        <f>VLOOKUP("Yellow Clr",Data!$A$1511:$AT$1522,2,FALSE)</f>
        <v>0</v>
      </c>
      <c r="C31" s="953">
        <f>VLOOKUP("Yellow Clr",Data!$A$1511:$AT$1522,3,FALSE)</f>
        <v>0</v>
      </c>
      <c r="D31" s="953">
        <f>VLOOKUP("Yellow Clr",Data!$A$1511:$AT$1522,4,FALSE)</f>
        <v>0</v>
      </c>
      <c r="E31" s="953">
        <f>VLOOKUP("Yellow Clr",Data!$A$1511:$AT$1522,5,FALSE)</f>
        <v>0</v>
      </c>
      <c r="F31" s="953">
        <f>VLOOKUP("Yellow Clr",Data!$A$1511:$AT$1522,6,FALSE)</f>
        <v>0</v>
      </c>
      <c r="G31" s="953">
        <f>VLOOKUP("Yellow Clr",Data!$A$1511:$AT$1522,7,FALSE)</f>
        <v>0</v>
      </c>
      <c r="H31" s="953">
        <f>VLOOKUP("Yellow Clr",Data!$A$1511:$AT$1522,8,FALSE)</f>
        <v>0</v>
      </c>
      <c r="I31" s="953">
        <f>VLOOKUP("Yellow Clr",Data!$A$1511:$AT$1522,9,FALSE)</f>
        <v>0</v>
      </c>
      <c r="J31" s="97"/>
      <c r="K31" s="198" t="s">
        <v>115</v>
      </c>
      <c r="L31" s="849" t="str">
        <f>IF(VLOOKUP("Max 2",Data!$A$1382:$I$1382,2,FALSE)="On","X","-")</f>
        <v>-</v>
      </c>
      <c r="M31" s="850" t="str">
        <f>IF(VLOOKUP("Max 2",Data!$A$1382:$I$1382,3,FALSE)="On","X","-")</f>
        <v>-</v>
      </c>
      <c r="N31" s="851" t="str">
        <f>IF(VLOOKUP("Max 2",Data!$A$1382:$I$1382,4,FALSE)="On","X","-")</f>
        <v>-</v>
      </c>
      <c r="O31" s="850" t="str">
        <f>IF(VLOOKUP("Max 2",Data!$A$1382:$I$1382,5,FALSE)="On","X","-")</f>
        <v>-</v>
      </c>
      <c r="P31" s="851" t="str">
        <f>IF(VLOOKUP("Max 2",Data!$A$1382:$I$1382,6,FALSE)="On","X","-")</f>
        <v>-</v>
      </c>
      <c r="Q31" s="850" t="str">
        <f>IF(VLOOKUP("Max 2",Data!$A$1382:$I$1382,7,FALSE)="On","X","-")</f>
        <v>-</v>
      </c>
      <c r="R31" s="851" t="str">
        <f>IF(VLOOKUP("Max 2",Data!$A$1382:$I$1382,8,FALSE)="On","X","-")</f>
        <v>-</v>
      </c>
      <c r="S31" s="868" t="str">
        <f>IF(VLOOKUP("Max 2",Data!$A$1382:$I$1382,9,FALSE)="On","X","-")</f>
        <v>-</v>
      </c>
      <c r="T31" s="2441" t="s">
        <v>644</v>
      </c>
      <c r="U31" s="2442"/>
      <c r="V31" s="2442"/>
      <c r="W31" s="2442"/>
      <c r="X31" s="2440">
        <f>VLOOKUP("Time Base Sync Reference",Data!$A$2709:$B$2719,2,FALSE)</f>
        <v>0</v>
      </c>
      <c r="Y31" s="2440"/>
      <c r="Z31" s="2440"/>
      <c r="AA31" s="2440"/>
      <c r="AB31" s="30"/>
      <c r="AC31" s="30"/>
      <c r="AD31" s="30"/>
      <c r="AE31" s="30"/>
      <c r="AF31" s="30"/>
      <c r="AG31" s="103"/>
      <c r="AH31" s="103"/>
      <c r="AI31" s="103"/>
      <c r="AJ31" s="104"/>
      <c r="AK31" s="82"/>
      <c r="AL31" s="82"/>
      <c r="AM31" s="82"/>
    </row>
    <row r="32" spans="1:41" s="91" customFormat="1" ht="12" customHeight="1">
      <c r="A32" s="99" t="s">
        <v>41</v>
      </c>
      <c r="B32" s="953">
        <f>VLOOKUP("Red Clr",Data!$A$1511:$AT$1522,2,FALSE)</f>
        <v>0</v>
      </c>
      <c r="C32" s="953">
        <f>VLOOKUP("Red Clr",Data!$A$1511:$AT$1522,3,FALSE)</f>
        <v>0</v>
      </c>
      <c r="D32" s="953">
        <f>VLOOKUP("Red Clr",Data!$A$1511:$AT$1522,4,FALSE)</f>
        <v>0</v>
      </c>
      <c r="E32" s="953">
        <f>VLOOKUP("Red Clr",Data!$A$1511:$AT$1522,5,FALSE)</f>
        <v>0</v>
      </c>
      <c r="F32" s="953">
        <f>VLOOKUP("Red Clr",Data!$A$1511:$AT$1522,6,FALSE)</f>
        <v>0</v>
      </c>
      <c r="G32" s="953">
        <f>VLOOKUP("Red Clr",Data!$A$1511:$AT$1522,7,FALSE)</f>
        <v>0</v>
      </c>
      <c r="H32" s="953">
        <f>VLOOKUP("Red Clr",Data!$A$1511:$AT$1522,8,FALSE)</f>
        <v>0</v>
      </c>
      <c r="I32" s="953">
        <f>VLOOKUP("Red Clr",Data!$A$1511:$AT$1522,9,FALSE)</f>
        <v>0</v>
      </c>
      <c r="J32" s="97"/>
      <c r="K32" s="198" t="s">
        <v>125</v>
      </c>
      <c r="L32" s="849" t="str">
        <f>IF(VLOOKUP("Ped Delay",Data!$A$1385:$I$1385,2,FALSE)="On","X","-")</f>
        <v>-</v>
      </c>
      <c r="M32" s="850" t="str">
        <f>IF(VLOOKUP("Ped Delay",Data!$A$1385:$I$1385,3,FALSE)="On","X","-")</f>
        <v>-</v>
      </c>
      <c r="N32" s="851" t="str">
        <f>IF(VLOOKUP("Ped Delay",Data!$A$1385:$I$1385,4,FALSE)="On","X","-")</f>
        <v>-</v>
      </c>
      <c r="O32" s="850" t="str">
        <f>IF(VLOOKUP("Ped Delay",Data!$A$1385:$I$1385,5,FALSE)="On","X","-")</f>
        <v>-</v>
      </c>
      <c r="P32" s="851" t="str">
        <f>IF(VLOOKUP("Ped Delay",Data!$A$1385:$I$1385,6,FALSE)="On","X","-")</f>
        <v>-</v>
      </c>
      <c r="Q32" s="850" t="str">
        <f>IF(VLOOKUP("Ped Delay",Data!$A$1385:$I$1385,7,FALSE)="On","X","-")</f>
        <v>-</v>
      </c>
      <c r="R32" s="851" t="str">
        <f>IF(VLOOKUP("Ped Delay",Data!$A$1385:$I$1385,8,FALSE)="On","X","-")</f>
        <v>-</v>
      </c>
      <c r="S32" s="868" t="str">
        <f>IF(VLOOKUP("Ped Delay",Data!$A$1385:$I$1385,9,FALSE)="On","X","-")</f>
        <v>-</v>
      </c>
      <c r="T32" s="2438" t="s">
        <v>645</v>
      </c>
      <c r="U32" s="2439"/>
      <c r="V32" s="2439"/>
      <c r="W32" s="2439"/>
      <c r="X32" s="1282" t="str">
        <f>VLOOKUP("GMT Offset Sign",Data!$A$2709:$B$2719,2,FALSE)</f>
        <v>-</v>
      </c>
      <c r="Y32" s="2445">
        <f>VLOOKUP("GMT Offset Time",Data!$A$2709:$B$2719,2,FALSE)</f>
        <v>8</v>
      </c>
      <c r="Z32" s="2446"/>
      <c r="AA32" s="2447"/>
      <c r="AB32" s="30"/>
      <c r="AC32" s="30"/>
      <c r="AD32" s="30"/>
      <c r="AE32" s="30"/>
      <c r="AF32" s="30"/>
      <c r="AG32" s="103"/>
      <c r="AH32" s="103"/>
      <c r="AI32" s="103"/>
      <c r="AJ32" s="104"/>
      <c r="AK32" s="82"/>
      <c r="AL32" s="82"/>
      <c r="AM32" s="82"/>
    </row>
    <row r="33" spans="1:42" s="91" customFormat="1" ht="12" customHeight="1">
      <c r="A33" s="105" t="s">
        <v>42</v>
      </c>
      <c r="B33" s="953">
        <f>VLOOKUP("Walk",Data!$A$1511:$AT$1522,2,FALSE)</f>
        <v>0</v>
      </c>
      <c r="C33" s="953">
        <f>VLOOKUP("Walk",Data!$A$1511:$AT$1522,3,FALSE)</f>
        <v>0</v>
      </c>
      <c r="D33" s="953">
        <f>VLOOKUP("Walk",Data!$A$1511:$AT$1522,4,FALSE)</f>
        <v>0</v>
      </c>
      <c r="E33" s="953">
        <f>VLOOKUP("Walk",Data!$A$1511:$AT$1522,5,FALSE)</f>
        <v>0</v>
      </c>
      <c r="F33" s="953">
        <f>VLOOKUP("Walk",Data!$A$1511:$AT$1522,6,FALSE)</f>
        <v>0</v>
      </c>
      <c r="G33" s="953">
        <f>VLOOKUP("Walk",Data!$A$1511:$AT$1522,7,FALSE)</f>
        <v>0</v>
      </c>
      <c r="H33" s="953">
        <f>VLOOKUP("Walk",Data!$A$1511:$AT$1522,8,FALSE)</f>
        <v>0</v>
      </c>
      <c r="I33" s="953">
        <f>VLOOKUP("Walk",Data!$A$1511:$AT$1522,9,FALSE)</f>
        <v>0</v>
      </c>
      <c r="J33" s="97"/>
      <c r="K33" s="198" t="s">
        <v>330</v>
      </c>
      <c r="L33" s="849">
        <f>VLOOKUP("Conflicting Phs1",Data!$A$1377:$I$1377,2,FALSE)</f>
        <v>0</v>
      </c>
      <c r="M33" s="850">
        <f>VLOOKUP("Conflicting Phs1",Data!$A$1377:$I$1377,3,FALSE)</f>
        <v>0</v>
      </c>
      <c r="N33" s="851">
        <f>VLOOKUP("Conflicting Phs1",Data!$A$1377:$I$1377,4,FALSE)</f>
        <v>0</v>
      </c>
      <c r="O33" s="850">
        <f>VLOOKUP("Conflicting Phs1",Data!$A$1377:$I$1377,5,FALSE)</f>
        <v>0</v>
      </c>
      <c r="P33" s="851">
        <f>VLOOKUP("Conflicting Phs1",Data!$A$1377:$I$1377,6,FALSE)</f>
        <v>0</v>
      </c>
      <c r="Q33" s="850">
        <f>VLOOKUP("Conflicting Phs1",Data!$A$1377:$I$1377,7,FALSE)</f>
        <v>0</v>
      </c>
      <c r="R33" s="851">
        <f>VLOOKUP("Conflicting Phs1",Data!$A$1377:$I$1377,8,FALSE)</f>
        <v>0</v>
      </c>
      <c r="S33" s="852">
        <f>VLOOKUP("Conflicting Phs1",Data!$A$1377:$I$1377,9,FALSE)</f>
        <v>0</v>
      </c>
      <c r="T33" s="2443" t="s">
        <v>10</v>
      </c>
      <c r="U33" s="2444"/>
      <c r="V33" s="2444"/>
      <c r="W33" s="2441"/>
      <c r="X33" s="298" t="s">
        <v>5</v>
      </c>
      <c r="Y33" s="2448" t="s">
        <v>756</v>
      </c>
      <c r="Z33" s="2448"/>
      <c r="AA33" s="2448"/>
      <c r="AB33" s="2448"/>
      <c r="AC33" s="30"/>
      <c r="AD33" s="30"/>
      <c r="AE33" s="30"/>
      <c r="AF33" s="30"/>
      <c r="AG33" s="103"/>
      <c r="AH33" s="103"/>
      <c r="AI33" s="103"/>
      <c r="AJ33" s="104"/>
      <c r="AK33" s="82"/>
      <c r="AL33" s="82"/>
      <c r="AM33" s="82"/>
      <c r="AO33" s="82"/>
    </row>
    <row r="34" spans="1:42" s="91" customFormat="1" ht="12" customHeight="1">
      <c r="A34" s="99" t="s">
        <v>43</v>
      </c>
      <c r="B34" s="954">
        <f>VLOOKUP("Ped Clear",Data!$A$1511:$AT$1522,2,FALSE)</f>
        <v>0</v>
      </c>
      <c r="C34" s="954">
        <f>VLOOKUP("Ped Clear",Data!$A$1511:$AT$1522,3,FALSE)</f>
        <v>0</v>
      </c>
      <c r="D34" s="954">
        <f>VLOOKUP("Ped Clear",Data!$A$1511:$AT$1522,4,FALSE)</f>
        <v>0</v>
      </c>
      <c r="E34" s="954">
        <f>VLOOKUP("Ped Clear",Data!$A$1511:$AT$1522,5,FALSE)</f>
        <v>0</v>
      </c>
      <c r="F34" s="954">
        <f>VLOOKUP("Ped Clear",Data!$A$1511:$AT$1522,6,FALSE)</f>
        <v>0</v>
      </c>
      <c r="G34" s="954">
        <f>VLOOKUP("Ped Clear",Data!$A$1511:$AT$1522,7,FALSE)</f>
        <v>0</v>
      </c>
      <c r="H34" s="954">
        <f>VLOOKUP("Ped Clear",Data!$A$1511:$AT$1522,8,FALSE)</f>
        <v>0</v>
      </c>
      <c r="I34" s="954">
        <f>VLOOKUP("Ped Clear",Data!$A$1511:$AT$1522,9,FALSE)</f>
        <v>0</v>
      </c>
      <c r="J34" s="97"/>
      <c r="K34" s="198"/>
      <c r="L34" s="869"/>
      <c r="M34" s="870"/>
      <c r="N34" s="871"/>
      <c r="O34" s="870"/>
      <c r="P34" s="871"/>
      <c r="Q34" s="870"/>
      <c r="R34" s="871"/>
      <c r="S34" s="872"/>
      <c r="T34" s="139"/>
      <c r="U34" s="140"/>
      <c r="V34" s="2442" t="s">
        <v>757</v>
      </c>
      <c r="W34" s="2442"/>
      <c r="X34" s="1283">
        <f>VLOOKUP("DST Spring Month",Data!$A$2709:$B$2719,2,FALSE)</f>
        <v>3</v>
      </c>
      <c r="Y34" s="2449" t="str">
        <f>VLOOKUP("DST Spring Week",Data!$A$2709:$B$2719,2,FALSE)</f>
        <v>2</v>
      </c>
      <c r="Z34" s="2449" t="e">
        <f>VLOOKUP("DST Spring Month",#REF!,2,FALSE)</f>
        <v>#REF!</v>
      </c>
      <c r="AA34" s="2449" t="e">
        <f>VLOOKUP("DST Spring Month",#REF!,2,FALSE)</f>
        <v>#REF!</v>
      </c>
      <c r="AB34" s="2449" t="e">
        <f>VLOOKUP("DST Spring Month",#REF!,2,FALSE)</f>
        <v>#REF!</v>
      </c>
      <c r="AC34" s="30"/>
      <c r="AD34" s="30"/>
      <c r="AE34" s="30"/>
      <c r="AF34" s="30"/>
      <c r="AG34" s="103"/>
      <c r="AH34" s="103"/>
      <c r="AI34" s="103"/>
      <c r="AJ34" s="104"/>
      <c r="AK34" s="82"/>
      <c r="AL34" s="82"/>
      <c r="AM34" s="82"/>
      <c r="AO34" s="45"/>
    </row>
    <row r="35" spans="1:42" s="91" customFormat="1" ht="12" customHeight="1">
      <c r="A35" s="1934"/>
      <c r="B35" s="1577"/>
      <c r="C35" s="1577"/>
      <c r="D35" s="1577"/>
      <c r="E35" s="1577"/>
      <c r="F35" s="1577"/>
      <c r="G35" s="1577"/>
      <c r="H35" s="1577"/>
      <c r="I35" s="1577"/>
      <c r="J35" s="97"/>
      <c r="K35" s="241" t="s">
        <v>333</v>
      </c>
      <c r="L35" s="101"/>
      <c r="M35" s="102"/>
      <c r="N35" s="102"/>
      <c r="O35" s="102"/>
      <c r="P35" s="100"/>
      <c r="Q35" s="100"/>
      <c r="R35" s="100"/>
      <c r="S35" s="106"/>
      <c r="T35" s="139"/>
      <c r="U35" s="140"/>
      <c r="V35" s="2442" t="s">
        <v>758</v>
      </c>
      <c r="W35" s="2442"/>
      <c r="X35" s="1283">
        <f>VLOOKUP("DST Fall Month",Data!$A$2709:$B$2719,2,FALSE)</f>
        <v>11</v>
      </c>
      <c r="Y35" s="2449" t="str">
        <f>VLOOKUP("DST Fall Week",Data!$A$2709:$B$2719,2,FALSE)</f>
        <v>1</v>
      </c>
      <c r="Z35" s="2449" t="e">
        <f>VLOOKUP("DST Spring Month",#REF!,2,FALSE)</f>
        <v>#REF!</v>
      </c>
      <c r="AA35" s="2449" t="e">
        <f>VLOOKUP("DST Spring Month",#REF!,2,FALSE)</f>
        <v>#REF!</v>
      </c>
      <c r="AB35" s="2449" t="e">
        <f>VLOOKUP("DST Spring Month",#REF!,2,FALSE)</f>
        <v>#REF!</v>
      </c>
      <c r="AC35" s="30"/>
      <c r="AD35" s="30"/>
      <c r="AE35" s="30"/>
      <c r="AF35" s="30"/>
      <c r="AG35" s="103"/>
      <c r="AH35" s="103"/>
      <c r="AI35" s="103"/>
      <c r="AJ35" s="104"/>
      <c r="AK35" s="82"/>
      <c r="AL35" s="82"/>
      <c r="AM35" s="82"/>
      <c r="AO35" s="82"/>
    </row>
    <row r="36" spans="1:42" s="91" customFormat="1" ht="12" customHeight="1">
      <c r="A36" s="240" t="s">
        <v>334</v>
      </c>
      <c r="B36" s="100"/>
      <c r="C36" s="100"/>
      <c r="D36" s="102"/>
      <c r="E36" s="102"/>
      <c r="F36" s="100"/>
      <c r="G36" s="100"/>
      <c r="H36" s="100"/>
      <c r="I36" s="100"/>
      <c r="J36" s="97"/>
      <c r="K36" s="198" t="s">
        <v>316</v>
      </c>
      <c r="L36" s="98">
        <v>1</v>
      </c>
      <c r="M36" s="98">
        <v>2</v>
      </c>
      <c r="N36" s="98">
        <v>3</v>
      </c>
      <c r="O36" s="98">
        <v>4</v>
      </c>
      <c r="P36" s="98">
        <v>5</v>
      </c>
      <c r="Q36" s="98">
        <v>6</v>
      </c>
      <c r="R36" s="98">
        <v>7</v>
      </c>
      <c r="S36" s="107">
        <v>8</v>
      </c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03"/>
      <c r="AH36" s="103"/>
      <c r="AI36" s="103"/>
      <c r="AJ36" s="104"/>
      <c r="AK36" s="82"/>
      <c r="AL36" s="82"/>
      <c r="AM36" s="82"/>
      <c r="AO36" s="82"/>
    </row>
    <row r="37" spans="1:42" s="91" customFormat="1" ht="12" customHeight="1">
      <c r="A37" s="197" t="s">
        <v>316</v>
      </c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97"/>
      <c r="K37" s="198" t="s">
        <v>324</v>
      </c>
      <c r="L37" s="846">
        <f>VLOOKUP("Assign Phase",Data!$A$1394:$I$1394,2,FALSE)</f>
        <v>0</v>
      </c>
      <c r="M37" s="847">
        <f>VLOOKUP("Assign Phase",Data!$A$1394:$I$1394,3,FALSE)</f>
        <v>0</v>
      </c>
      <c r="N37" s="848">
        <f>VLOOKUP("Assign Phase",Data!$A$1394:$I$1394,4,FALSE)</f>
        <v>0</v>
      </c>
      <c r="O37" s="847">
        <f>VLOOKUP("Assign Phase",Data!$A$1394:$I$1394,5,FALSE)</f>
        <v>0</v>
      </c>
      <c r="P37" s="848">
        <f>VLOOKUP("Assign Phase",Data!$A$1394:$I$1394,6,FALSE)</f>
        <v>0</v>
      </c>
      <c r="Q37" s="847">
        <f>VLOOKUP("Assign Phase",Data!$A$1394:$I$1394,7,FALSE)</f>
        <v>0</v>
      </c>
      <c r="R37" s="848">
        <f>VLOOKUP("Assign Phase",Data!$A$1394:$I$1394,8,FALSE)</f>
        <v>0</v>
      </c>
      <c r="S37" s="873">
        <f>VLOOKUP("Assign Phase",Data!$A$1394:$I$1394,9,FALSE)</f>
        <v>0</v>
      </c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03"/>
      <c r="AH37" s="103"/>
      <c r="AI37" s="103"/>
      <c r="AJ37" s="104"/>
      <c r="AK37" s="82"/>
      <c r="AL37" s="82"/>
      <c r="AM37" s="82"/>
      <c r="AO37" s="82"/>
    </row>
    <row r="38" spans="1:42" s="91" customFormat="1" ht="12" customHeight="1">
      <c r="A38" s="108" t="s">
        <v>324</v>
      </c>
      <c r="B38" s="846">
        <f>VLOOKUP("Assign Phase",Data!$A$1337:$I$1337,2,FALSE)</f>
        <v>0</v>
      </c>
      <c r="C38" s="847">
        <f>VLOOKUP("Assign Phase",Data!$A$1337:$I$1337,3,FALSE)</f>
        <v>0</v>
      </c>
      <c r="D38" s="848">
        <f>VLOOKUP("Assign Phase",Data!$A$1337:$I$1337,4,FALSE)</f>
        <v>0</v>
      </c>
      <c r="E38" s="847">
        <f>VLOOKUP("Assign Phase",Data!$A$1337:$I$1337,5,FALSE)</f>
        <v>0</v>
      </c>
      <c r="F38" s="848">
        <f>VLOOKUP("Assign Phase",Data!$A$1337:$I$1337,6,FALSE)</f>
        <v>0</v>
      </c>
      <c r="G38" s="847">
        <f>VLOOKUP("Assign Phase",Data!$A$1337:$I$1337,7,FALSE)</f>
        <v>0</v>
      </c>
      <c r="H38" s="848">
        <f>VLOOKUP("Assign Phase",Data!$A$1337:$I$1337,8,FALSE)</f>
        <v>0</v>
      </c>
      <c r="I38" s="856">
        <f>VLOOKUP("Assign Phase",Data!$A$1337:$I$1337,9,FALSE)</f>
        <v>0</v>
      </c>
      <c r="J38" s="97"/>
      <c r="K38" s="198" t="s">
        <v>173</v>
      </c>
      <c r="L38" s="849" t="str">
        <f>IF(VLOOKUP("Lock Call",Data!$A$1400:$I$1400,2,FALSE)="On","X","-")</f>
        <v>-</v>
      </c>
      <c r="M38" s="850" t="str">
        <f>IF(VLOOKUP("Lock Call",Data!$A$1400:$I$1400,3,FALSE)="On","X","-")</f>
        <v>-</v>
      </c>
      <c r="N38" s="851" t="str">
        <f>IF(VLOOKUP("Lock Call",Data!$A$1400:$I$1400,4,FALSE)="On","X","-")</f>
        <v>-</v>
      </c>
      <c r="O38" s="850" t="str">
        <f>IF(VLOOKUP("Lock Call",Data!$A$1400:$I$1400,5,FALSE)="On","X","-")</f>
        <v>-</v>
      </c>
      <c r="P38" s="851" t="str">
        <f>IF(VLOOKUP("Lock Call",Data!$A$1400:$I$1400,6,FALSE)="On","X","-")</f>
        <v>-</v>
      </c>
      <c r="Q38" s="850" t="str">
        <f>IF(VLOOKUP("Lock Call",Data!$A$1400:$I$1400,7,FALSE)="On","X","-")</f>
        <v>-</v>
      </c>
      <c r="R38" s="851" t="str">
        <f>IF(VLOOKUP("Lock Call",Data!$A$1400:$I$1400,8,FALSE)="On","X","-")</f>
        <v>-</v>
      </c>
      <c r="S38" s="859" t="str">
        <f>IF(VLOOKUP("Lock Call",Data!$A$1400:$I$1400,9,FALSE)="On","X","-")</f>
        <v>-</v>
      </c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03"/>
      <c r="AH38" s="103"/>
      <c r="AI38" s="103"/>
      <c r="AJ38" s="104"/>
      <c r="AK38" s="82"/>
      <c r="AL38" s="82"/>
      <c r="AM38" s="82"/>
      <c r="AO38" s="82"/>
      <c r="AP38"/>
    </row>
    <row r="39" spans="1:42" s="91" customFormat="1" ht="12" customHeight="1">
      <c r="A39" s="108" t="s">
        <v>173</v>
      </c>
      <c r="B39" s="849" t="str">
        <f>IF(VLOOKUP("Lock Call",Data!$A$1343:$I$1343,2,FALSE)="On","X","-")</f>
        <v>-</v>
      </c>
      <c r="C39" s="850" t="str">
        <f>IF(VLOOKUP("Lock Call",Data!$A$1343:$I$1343,3,FALSE)="On","X","-")</f>
        <v>-</v>
      </c>
      <c r="D39" s="851" t="str">
        <f>IF(VLOOKUP("Lock Call",Data!$A$1343:$I$1343,4,FALSE)="On","X","-")</f>
        <v>-</v>
      </c>
      <c r="E39" s="850" t="str">
        <f>IF(VLOOKUP("Lock Call",Data!$A$1343:$I$1343,5,FALSE)="On","X","-")</f>
        <v>-</v>
      </c>
      <c r="F39" s="851" t="str">
        <f>IF(VLOOKUP("Lock Call",Data!$A$1343:$I$1343,6,FALSE)="On","X","-")</f>
        <v>-</v>
      </c>
      <c r="G39" s="850" t="str">
        <f>IF(VLOOKUP("Lock Call",Data!$A$1343:$I$1343,7,FALSE)="On","X","-")</f>
        <v>-</v>
      </c>
      <c r="H39" s="851" t="str">
        <f>IF(VLOOKUP("Lock Call",Data!$A$1343:$I$1343,8,FALSE)="On","X","-")</f>
        <v>-</v>
      </c>
      <c r="I39" s="857" t="str">
        <f>IF(VLOOKUP("Lock Call",Data!$A$1343:$I$1343,9,FALSE)="On","X","-")</f>
        <v>-</v>
      </c>
      <c r="J39" s="97"/>
      <c r="K39" s="198" t="s">
        <v>123</v>
      </c>
      <c r="L39" s="849" t="str">
        <f>IF(VLOOKUP("Soft ReCall",Data!$A$1409:$I$1409,2,FALSE)="On","X","-")</f>
        <v>-</v>
      </c>
      <c r="M39" s="850" t="str">
        <f>IF(VLOOKUP("Soft ReCall",Data!$A$1409:$I$1409,3,FALSE)="On","X","-")</f>
        <v>-</v>
      </c>
      <c r="N39" s="851" t="str">
        <f>IF(VLOOKUP("Soft ReCall",Data!$A$1409:$I$1409,4,FALSE)="On","X","-")</f>
        <v>-</v>
      </c>
      <c r="O39" s="850" t="str">
        <f>IF(VLOOKUP("Soft ReCall",Data!$A$1409:$I$1409,5,FALSE)="On","X","-")</f>
        <v>-</v>
      </c>
      <c r="P39" s="851" t="str">
        <f>IF(VLOOKUP("Soft ReCall",Data!$A$1409:$I$1409,6,FALSE)="On","X","-")</f>
        <v>-</v>
      </c>
      <c r="Q39" s="850" t="str">
        <f>IF(VLOOKUP("Soft ReCall",Data!$A$1409:$I$1409,7,FALSE)="On","X","-")</f>
        <v>-</v>
      </c>
      <c r="R39" s="851" t="str">
        <f>IF(VLOOKUP("Soft ReCall",Data!$A$1409:$I$1409,8,FALSE)="On","X","-")</f>
        <v>-</v>
      </c>
      <c r="S39" s="859" t="str">
        <f>IF(VLOOKUP("Soft ReCall",Data!$A$1409:$I$1409,9,FALSE)="On","X","-")</f>
        <v>-</v>
      </c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03"/>
      <c r="AH39" s="103"/>
      <c r="AI39" s="103"/>
      <c r="AJ39" s="104"/>
      <c r="AK39" s="82"/>
      <c r="AL39" s="82"/>
      <c r="AM39" s="82"/>
      <c r="AN39" s="82"/>
      <c r="AP39"/>
    </row>
    <row r="40" spans="1:42" s="91" customFormat="1" ht="12" customHeight="1">
      <c r="A40" s="108" t="s">
        <v>123</v>
      </c>
      <c r="B40" s="849" t="str">
        <f>IF(VLOOKUP("Soft ReCall",Data!$A$1352:$I$1352,2,FALSE)="On","X","-")</f>
        <v>-</v>
      </c>
      <c r="C40" s="850" t="str">
        <f>IF(VLOOKUP("Soft ReCall",Data!$A$1352:$I$1352,3,FALSE)="On","X","-")</f>
        <v>-</v>
      </c>
      <c r="D40" s="851" t="str">
        <f>IF(VLOOKUP("Soft ReCall",Data!$A$1352:$I$1352,4,FALSE)="On","X","-")</f>
        <v>-</v>
      </c>
      <c r="E40" s="850" t="str">
        <f>IF(VLOOKUP("Soft ReCall",Data!$A$1352:$I$1352,5,FALSE)="On","X","-")</f>
        <v>-</v>
      </c>
      <c r="F40" s="851" t="str">
        <f>IF(VLOOKUP("Soft ReCall",Data!$A$1352:$I$1352,6,FALSE)="On","X","-")</f>
        <v>-</v>
      </c>
      <c r="G40" s="850" t="str">
        <f>IF(VLOOKUP("Soft ReCall",Data!$A$1352:$I$1352,7,FALSE)="On","X","-")</f>
        <v>-</v>
      </c>
      <c r="H40" s="851" t="str">
        <f>IF(VLOOKUP("Soft ReCall",Data!$A$1352:$I$1352,8,FALSE)="On","X","-")</f>
        <v>-</v>
      </c>
      <c r="I40" s="857" t="str">
        <f>IF(VLOOKUP("Soft ReCall",Data!$A$1352:$I$1352,9,FALSE)="On","X","-")</f>
        <v>-</v>
      </c>
      <c r="J40" s="97"/>
      <c r="K40" s="198" t="s">
        <v>47</v>
      </c>
      <c r="L40" s="849" t="str">
        <f>IF(VLOOKUP("Dual Entry",Data!$A$1398:$I$1398,2,FALSE)="On","X","-")</f>
        <v>-</v>
      </c>
      <c r="M40" s="850" t="str">
        <f>IF(VLOOKUP("Dual Entry",Data!$A$1398:$I$1398,3,FALSE)="On","X","-")</f>
        <v>-</v>
      </c>
      <c r="N40" s="851" t="str">
        <f>IF(VLOOKUP("Dual Entry",Data!$A$1398:$I$1398,4,FALSE)="On","X","-")</f>
        <v>-</v>
      </c>
      <c r="O40" s="850" t="str">
        <f>IF(VLOOKUP("Dual Entry",Data!$A$1398:$I$1398,5,FALSE)="On","X","-")</f>
        <v>-</v>
      </c>
      <c r="P40" s="851" t="str">
        <f>IF(VLOOKUP("Dual Entry",Data!$A$1398:$I$1398,6,FALSE)="On","X","-")</f>
        <v>-</v>
      </c>
      <c r="Q40" s="850" t="str">
        <f>IF(VLOOKUP("Dual Entry",Data!$A$1398:$I$1398,7,FALSE)="On","X","-")</f>
        <v>-</v>
      </c>
      <c r="R40" s="851" t="str">
        <f>IF(VLOOKUP("Dual Entry",Data!$A$1398:$I$1398,8,FALSE)="On","X","-")</f>
        <v>-</v>
      </c>
      <c r="S40" s="859" t="str">
        <f>IF(VLOOKUP("Dual Entry",Data!$A$1398:$I$1398,9,FALSE)="On","X","-")</f>
        <v>-</v>
      </c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03"/>
      <c r="AH40" s="103"/>
      <c r="AI40" s="103"/>
      <c r="AJ40" s="104"/>
      <c r="AK40" s="82"/>
      <c r="AL40" s="82"/>
      <c r="AM40" s="82"/>
      <c r="AN40" s="82"/>
      <c r="AP40"/>
    </row>
    <row r="41" spans="1:42" s="91" customFormat="1" ht="12" customHeight="1">
      <c r="A41" s="108" t="s">
        <v>47</v>
      </c>
      <c r="B41" s="849" t="str">
        <f>IF(VLOOKUP("Dual Entry",Data!$A$1341:$I$1341,2,FALSE)="On","X","-")</f>
        <v>-</v>
      </c>
      <c r="C41" s="850" t="str">
        <f>IF(VLOOKUP("Dual Entry",Data!$A$1341:$I$1341,3,FALSE)="On","X","-")</f>
        <v>-</v>
      </c>
      <c r="D41" s="851" t="str">
        <f>IF(VLOOKUP("Dual Entry",Data!$A$1341:$I$1341,4,FALSE)="On","X","-")</f>
        <v>-</v>
      </c>
      <c r="E41" s="850" t="str">
        <f>IF(VLOOKUP("Dual Entry",Data!$A$1341:$I$1341,5,FALSE)="On","X","-")</f>
        <v>-</v>
      </c>
      <c r="F41" s="851" t="str">
        <f>IF(VLOOKUP("Dual Entry",Data!$A$1341:$I$1341,6,FALSE)="On","X","-")</f>
        <v>-</v>
      </c>
      <c r="G41" s="850" t="str">
        <f>IF(VLOOKUP("Dual Entry",Data!$A$1341:$I$1341,7,FALSE)="On","X","-")</f>
        <v>-</v>
      </c>
      <c r="H41" s="851" t="str">
        <f>IF(VLOOKUP("Dual Entry",Data!$A$1341:$I$1341,8,FALSE)="On","X","-")</f>
        <v>-</v>
      </c>
      <c r="I41" s="857" t="str">
        <f>IF(VLOOKUP("Dual Entry",Data!$A$1341:$I$1341,9,FALSE)="On","X","-")</f>
        <v>-</v>
      </c>
      <c r="J41" s="97"/>
      <c r="K41" s="198" t="s">
        <v>326</v>
      </c>
      <c r="L41" s="849" t="str">
        <f>IF(VLOOKUP("Sim Gap Enable",Data!$A$1408:$I$1408,2,FALSE)="On","X","-")</f>
        <v>-</v>
      </c>
      <c r="M41" s="850" t="str">
        <f>IF(VLOOKUP("Sim Gap Enable",Data!$A$1408:$I$1408,3,FALSE)="On","X","-")</f>
        <v>-</v>
      </c>
      <c r="N41" s="851" t="str">
        <f>IF(VLOOKUP("Sim Gap Enable",Data!$A$1408:$I$1408,4,FALSE)="On","X","-")</f>
        <v>-</v>
      </c>
      <c r="O41" s="850" t="str">
        <f>IF(VLOOKUP("Sim Gap Enable",Data!$A$1408:$I$1408,5,FALSE)="On","X","-")</f>
        <v>-</v>
      </c>
      <c r="P41" s="851" t="str">
        <f>IF(VLOOKUP("Sim Gap Enable",Data!$A$1408:$I$1408,6,FALSE)="On","X","-")</f>
        <v>-</v>
      </c>
      <c r="Q41" s="850" t="str">
        <f>IF(VLOOKUP("Sim Gap Enable",Data!$A$1408:$I$1408,7,FALSE)="On","X","-")</f>
        <v>-</v>
      </c>
      <c r="R41" s="851" t="str">
        <f>IF(VLOOKUP("Sim Gap Enable",Data!$A$1408:$I$1408,8,FALSE)="On","X","-")</f>
        <v>-</v>
      </c>
      <c r="S41" s="859" t="str">
        <f>IF(VLOOKUP("Sim Gap Enable",Data!$A$1408:$I$1408,9,FALSE)="On","X","-")</f>
        <v>-</v>
      </c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03"/>
      <c r="AH41" s="103"/>
      <c r="AI41" s="103"/>
      <c r="AJ41" s="104"/>
      <c r="AK41" s="82"/>
      <c r="AL41" s="82"/>
      <c r="AM41" s="82"/>
    </row>
    <row r="42" spans="1:42" s="91" customFormat="1" ht="12" customHeight="1">
      <c r="A42" s="108" t="s">
        <v>326</v>
      </c>
      <c r="B42" s="849" t="str">
        <f>IF(VLOOKUP("Sim Gap Enable",Data!$A$1351:$I$1351,2,FALSE)="On","X","-")</f>
        <v>-</v>
      </c>
      <c r="C42" s="850" t="str">
        <f>IF(VLOOKUP("Sim Gap Enable",Data!$A$1351:$I$1351,3,FALSE)="On","X","-")</f>
        <v>-</v>
      </c>
      <c r="D42" s="851" t="str">
        <f>IF(VLOOKUP("Sim Gap Enable",Data!$A$1351:$I$1351,4,FALSE)="On","X","-")</f>
        <v>-</v>
      </c>
      <c r="E42" s="850" t="str">
        <f>IF(VLOOKUP("Sim Gap Enable",Data!$A$1351:$I$1351,5,FALSE)="On","X","-")</f>
        <v>-</v>
      </c>
      <c r="F42" s="851" t="str">
        <f>IF(VLOOKUP("Sim Gap Enable",Data!$A$1351:$I$1351,6,FALSE)="On","X","-")</f>
        <v>-</v>
      </c>
      <c r="G42" s="850" t="str">
        <f>IF(VLOOKUP("Sim Gap Enable",Data!$A$1351:$I$1351,7,FALSE)="On","X","-")</f>
        <v>-</v>
      </c>
      <c r="H42" s="851" t="str">
        <f>IF(VLOOKUP("Sim Gap Enable",Data!$A$1351:$I$1351,8,FALSE)="On","X","-")</f>
        <v>-</v>
      </c>
      <c r="I42" s="857" t="str">
        <f>IF(VLOOKUP("Sim Gap Enable",Data!$A$1351:$I$1351,9,FALSE)="On","X","-")</f>
        <v>-</v>
      </c>
      <c r="J42" s="97"/>
      <c r="K42" s="198" t="s">
        <v>327</v>
      </c>
      <c r="L42" s="849" t="str">
        <f>IF(VLOOKUP("Guar Passage",Data!$A$1399:$I$1399,2,FALSE)="On","X","-")</f>
        <v>-</v>
      </c>
      <c r="M42" s="850" t="str">
        <f>IF(VLOOKUP("Guar Passage",Data!$A$1399:$I$1399,3,FALSE)="On","X","-")</f>
        <v>-</v>
      </c>
      <c r="N42" s="851" t="str">
        <f>IF(VLOOKUP("Guar Passage",Data!$A$1399:$I$1399,4,FALSE)="On","X","-")</f>
        <v>-</v>
      </c>
      <c r="O42" s="850" t="str">
        <f>IF(VLOOKUP("Guar Passage",Data!$A$1399:$I$1399,5,FALSE)="On","X","-")</f>
        <v>-</v>
      </c>
      <c r="P42" s="851" t="str">
        <f>IF(VLOOKUP("Guar Passage",Data!$A$1399:$I$1399,6,FALSE)="On","X","-")</f>
        <v>-</v>
      </c>
      <c r="Q42" s="850" t="str">
        <f>IF(VLOOKUP("Guar Passage",Data!$A$1399:$I$1399,7,FALSE)="On","X","-")</f>
        <v>-</v>
      </c>
      <c r="R42" s="851" t="str">
        <f>IF(VLOOKUP("Guar Passage",Data!$A$1399:$I$1399,8,FALSE)="On","X","-")</f>
        <v>-</v>
      </c>
      <c r="S42" s="859" t="str">
        <f>IF(VLOOKUP("Guar Passage",Data!$A$1399:$I$1399,9,FALSE)="On","X","-")</f>
        <v>-</v>
      </c>
      <c r="T42" s="29"/>
      <c r="U42" s="2685" t="s">
        <v>4000</v>
      </c>
      <c r="V42" s="2685"/>
      <c r="W42" s="2685"/>
      <c r="X42" s="2685"/>
      <c r="Y42" s="2685"/>
      <c r="Z42" s="2685"/>
      <c r="AA42" s="2685"/>
      <c r="AB42" s="2685"/>
      <c r="AC42" s="2685"/>
      <c r="AD42" s="2685"/>
      <c r="AE42" s="2685"/>
      <c r="AF42" s="2685"/>
      <c r="AG42" s="2685"/>
      <c r="AH42" s="2685"/>
      <c r="AI42" s="2685"/>
      <c r="AJ42" s="104"/>
      <c r="AK42" s="82"/>
      <c r="AL42" s="82"/>
      <c r="AM42" s="82"/>
    </row>
    <row r="43" spans="1:42" s="91" customFormat="1" ht="12" customHeight="1">
      <c r="A43" s="108" t="s">
        <v>113</v>
      </c>
      <c r="B43" s="849" t="str">
        <f>IF(VLOOKUP("Guar Passage",Data!$A$1342:$I$1342,2,FALSE)="On","X","-")</f>
        <v>-</v>
      </c>
      <c r="C43" s="850" t="str">
        <f>IF(VLOOKUP("Guar Passage",Data!$A$1342:$I$1342,3,FALSE)="On","X","-")</f>
        <v>-</v>
      </c>
      <c r="D43" s="851" t="str">
        <f>IF(VLOOKUP("Guar Passage",Data!$A$1342:$I$1342,4,FALSE)="On","X","-")</f>
        <v>-</v>
      </c>
      <c r="E43" s="850" t="str">
        <f>IF(VLOOKUP("Guar Passage",Data!$A$1342:$I$1342,5,FALSE)="On","X","-")</f>
        <v>-</v>
      </c>
      <c r="F43" s="851" t="str">
        <f>IF(VLOOKUP("Guar Passage",Data!$A$1342:$I$1342,6,FALSE)="On","X","-")</f>
        <v>-</v>
      </c>
      <c r="G43" s="850" t="str">
        <f>IF(VLOOKUP("Guar Passage",Data!$A$1342:$I$1342,7,FALSE)="On","X","-")</f>
        <v>-</v>
      </c>
      <c r="H43" s="851" t="str">
        <f>IF(VLOOKUP("Guar Passage",Data!$A$1342:$I$1342,8,FALSE)="On","X","-")</f>
        <v>-</v>
      </c>
      <c r="I43" s="857" t="str">
        <f>IF(VLOOKUP("Guar Passage",Data!$A$1342:$I$1342,9,FALSE)="On","X","-")</f>
        <v>-</v>
      </c>
      <c r="J43" s="97"/>
      <c r="K43" s="198" t="s">
        <v>121</v>
      </c>
      <c r="L43" s="849" t="str">
        <f>IF(VLOOKUP("Rest In Walk",Data!$A$1407:$I$1407,2,FALSE)="On","X","-")</f>
        <v>-</v>
      </c>
      <c r="M43" s="850" t="str">
        <f>IF(VLOOKUP("Rest In Walk",Data!$A$1407:$I$1407,3,FALSE)="On","X","-")</f>
        <v>-</v>
      </c>
      <c r="N43" s="851" t="str">
        <f>IF(VLOOKUP("Rest In Walk",Data!$A$1407:$I$1407,4,FALSE)="On","X","-")</f>
        <v>-</v>
      </c>
      <c r="O43" s="850" t="str">
        <f>IF(VLOOKUP("Rest In Walk",Data!$A$1407:$I$1407,5,FALSE)="On","X","-")</f>
        <v>-</v>
      </c>
      <c r="P43" s="851" t="str">
        <f>IF(VLOOKUP("Rest In Walk",Data!$A$1407:$I$1407,6,FALSE)="On","X","-")</f>
        <v>-</v>
      </c>
      <c r="Q43" s="850" t="str">
        <f>IF(VLOOKUP("Rest In Walk",Data!$A$1407:$I$1407,7,FALSE)="On","X","-")</f>
        <v>-</v>
      </c>
      <c r="R43" s="851" t="str">
        <f>IF(VLOOKUP("Rest In Walk",Data!$A$1407:$I$1407,8,FALSE)="On","X","-")</f>
        <v>-</v>
      </c>
      <c r="S43" s="859" t="str">
        <f>IF(VLOOKUP("Rest In Walk",Data!$A$1407:$I$1407,9,FALSE)="On","X","-")</f>
        <v>-</v>
      </c>
      <c r="T43" s="29"/>
      <c r="U43" s="2685"/>
      <c r="V43" s="2685"/>
      <c r="W43" s="2685"/>
      <c r="X43" s="2685"/>
      <c r="Y43" s="2685"/>
      <c r="Z43" s="2685"/>
      <c r="AA43" s="2685"/>
      <c r="AB43" s="2685"/>
      <c r="AC43" s="2685"/>
      <c r="AD43" s="2685"/>
      <c r="AE43" s="2685"/>
      <c r="AF43" s="2685"/>
      <c r="AG43" s="2685"/>
      <c r="AH43" s="2685"/>
      <c r="AI43" s="2685"/>
      <c r="AJ43" s="104"/>
      <c r="AK43" s="82"/>
      <c r="AL43" s="82"/>
      <c r="AM43" s="82"/>
    </row>
    <row r="44" spans="1:42" s="91" customFormat="1" ht="12" customHeight="1">
      <c r="A44" s="108" t="s">
        <v>121</v>
      </c>
      <c r="B44" s="849" t="str">
        <f>IF(VLOOKUP("Rest In Walk",Data!$A$1350:$I$1350,2,FALSE)="On","X","-")</f>
        <v>-</v>
      </c>
      <c r="C44" s="850" t="str">
        <f>IF(VLOOKUP("Rest In Walk",Data!$A$1350:$I$1350,3,FALSE)="On","X","-")</f>
        <v>-</v>
      </c>
      <c r="D44" s="851" t="str">
        <f>IF(VLOOKUP("Rest In Walk",Data!$A$1350:$I$1350,4,FALSE)="On","X","-")</f>
        <v>-</v>
      </c>
      <c r="E44" s="850" t="str">
        <f>IF(VLOOKUP("Rest In Walk",Data!$A$1350:$I$1350,5,FALSE)="On","X","-")</f>
        <v>-</v>
      </c>
      <c r="F44" s="851" t="str">
        <f>IF(VLOOKUP("Rest In Walk",Data!$A$1350:$I$1350,6,FALSE)="On","X","-")</f>
        <v>-</v>
      </c>
      <c r="G44" s="850" t="str">
        <f>IF(VLOOKUP("Rest In Walk",Data!$A$1350:$I$1350,7,FALSE)="On","X","-")</f>
        <v>-</v>
      </c>
      <c r="H44" s="851" t="str">
        <f>IF(VLOOKUP("Rest In Walk",Data!$A$1350:$I$1350,8,FALSE)="On","X","-")</f>
        <v>-</v>
      </c>
      <c r="I44" s="857" t="str">
        <f>IF(VLOOKUP("Rest In Walk",Data!$A$1350:$I$1350,9,FALSE)="On","X","-")</f>
        <v>-</v>
      </c>
      <c r="J44" s="97"/>
      <c r="K44" s="198" t="s">
        <v>111</v>
      </c>
      <c r="L44" s="849" t="str">
        <f>IF(VLOOKUP("Cond Service",Data!$A$1395:$I$1395,2,FALSE)="On","X","-")</f>
        <v>-</v>
      </c>
      <c r="M44" s="850" t="str">
        <f>IF(VLOOKUP("Cond Service",Data!$A$1395:$I$1395,3,FALSE)="On","X","-")</f>
        <v>-</v>
      </c>
      <c r="N44" s="851" t="str">
        <f>IF(VLOOKUP("Cond Service",Data!$A$1395:$I$1395,4,FALSE)="On","X","-")</f>
        <v>-</v>
      </c>
      <c r="O44" s="850" t="str">
        <f>IF(VLOOKUP("Cond Service",Data!$A$1395:$I$1395,5,FALSE)="On","X","-")</f>
        <v>-</v>
      </c>
      <c r="P44" s="851" t="str">
        <f>IF(VLOOKUP("Cond Service",Data!$A$1395:$I$1395,6,FALSE)="On","X","-")</f>
        <v>-</v>
      </c>
      <c r="Q44" s="850" t="str">
        <f>IF(VLOOKUP("Cond Service",Data!$A$1395:$I$1395,7,FALSE)="On","X","-")</f>
        <v>-</v>
      </c>
      <c r="R44" s="851" t="str">
        <f>IF(VLOOKUP("Cond Service",Data!$A$1395:$I$1395,8,FALSE)="On","X","-")</f>
        <v>-</v>
      </c>
      <c r="S44" s="859" t="str">
        <f>IF(VLOOKUP("Cond Service",Data!$A$1395:$I$1395,9,FALSE)="On","X","-")</f>
        <v>-</v>
      </c>
      <c r="T44" s="29"/>
      <c r="U44" s="2685"/>
      <c r="V44" s="2685"/>
      <c r="W44" s="2685"/>
      <c r="X44" s="2685"/>
      <c r="Y44" s="2685"/>
      <c r="Z44" s="2685"/>
      <c r="AA44" s="2685"/>
      <c r="AB44" s="2685"/>
      <c r="AC44" s="2685"/>
      <c r="AD44" s="2685"/>
      <c r="AE44" s="2685"/>
      <c r="AF44" s="2685"/>
      <c r="AG44" s="2685"/>
      <c r="AH44" s="2685"/>
      <c r="AI44" s="2685"/>
      <c r="AJ44" s="104"/>
      <c r="AK44" s="82"/>
      <c r="AL44" s="82"/>
      <c r="AM44" s="82"/>
    </row>
    <row r="45" spans="1:42" s="91" customFormat="1" ht="12" customHeight="1">
      <c r="A45" s="108" t="s">
        <v>111</v>
      </c>
      <c r="B45" s="849" t="str">
        <f>IF(VLOOKUP("Cond Service",Data!$A$1338:$I$1338,2,FALSE)="On","X","-")</f>
        <v>-</v>
      </c>
      <c r="C45" s="850" t="str">
        <f>IF(VLOOKUP("Cond Service",Data!$A$1338:$I$1338,3,FALSE)="On","X","-")</f>
        <v>-</v>
      </c>
      <c r="D45" s="851" t="str">
        <f>IF(VLOOKUP("Cond Service",Data!$A$1338:$I$1338,4,FALSE)="On","X","-")</f>
        <v>-</v>
      </c>
      <c r="E45" s="850" t="str">
        <f>IF(VLOOKUP("Cond Service",Data!$A$1338:$I$1338,5,FALSE)="On","X","-")</f>
        <v>-</v>
      </c>
      <c r="F45" s="851" t="str">
        <f>IF(VLOOKUP("Cond Service",Data!$A$1338:$I$1338,6,FALSE)="On","X","-")</f>
        <v>-</v>
      </c>
      <c r="G45" s="850" t="str">
        <f>IF(VLOOKUP("Cond Service",Data!$A$1338:$I$1338,7,FALSE)="On","X","-")</f>
        <v>-</v>
      </c>
      <c r="H45" s="851" t="str">
        <f>IF(VLOOKUP("Cond Service",Data!$A$1338:$I$1338,8,FALSE)="On","X","-")</f>
        <v>-</v>
      </c>
      <c r="I45" s="857" t="str">
        <f>IF(VLOOKUP("Cond Service",Data!$A$1338:$I$1338,9,FALSE)="On","X","-")</f>
        <v>-</v>
      </c>
      <c r="J45" s="97"/>
      <c r="K45" s="198" t="s">
        <v>48</v>
      </c>
      <c r="L45" s="849" t="str">
        <f>IF(VLOOKUP("Reservice",Data!$A$1406:$I$1406,2,FALSE)="On","X","-")</f>
        <v>-</v>
      </c>
      <c r="M45" s="850" t="str">
        <f>IF(VLOOKUP("Reservice",Data!$A$1406:$I$1406,3,FALSE)="On","X","-")</f>
        <v>-</v>
      </c>
      <c r="N45" s="851" t="str">
        <f>IF(VLOOKUP("Reservice",Data!$A$1406:$I$1406,4,FALSE)="On","X","-")</f>
        <v>-</v>
      </c>
      <c r="O45" s="850" t="str">
        <f>IF(VLOOKUP("Reservice",Data!$A$1406:$I$1406,5,FALSE)="On","X","-")</f>
        <v>-</v>
      </c>
      <c r="P45" s="851" t="str">
        <f>IF(VLOOKUP("Reservice",Data!$A$1406:$I$1406,6,FALSE)="On","X","-")</f>
        <v>-</v>
      </c>
      <c r="Q45" s="850" t="str">
        <f>IF(VLOOKUP("Reservice",Data!$A$1406:$I$1406,7,FALSE)="On","X","-")</f>
        <v>-</v>
      </c>
      <c r="R45" s="851" t="str">
        <f>IF(VLOOKUP("Reservice",Data!$A$1406:$I$1406,8,FALSE)="On","X","-")</f>
        <v>-</v>
      </c>
      <c r="S45" s="859" t="str">
        <f>IF(VLOOKUP("Reservice",Data!$A$1406:$I$1406,9,FALSE)="On","X","-")</f>
        <v>-</v>
      </c>
      <c r="T45" s="29"/>
      <c r="U45" s="2685"/>
      <c r="V45" s="2685"/>
      <c r="W45" s="2685"/>
      <c r="X45" s="2685"/>
      <c r="Y45" s="2685"/>
      <c r="Z45" s="2685"/>
      <c r="AA45" s="2685"/>
      <c r="AB45" s="2685"/>
      <c r="AC45" s="2685"/>
      <c r="AD45" s="2685"/>
      <c r="AE45" s="2685"/>
      <c r="AF45" s="2685"/>
      <c r="AG45" s="2685"/>
      <c r="AH45" s="2685"/>
      <c r="AI45" s="2685"/>
      <c r="AJ45" s="104"/>
      <c r="AK45" s="82"/>
      <c r="AL45" s="82"/>
      <c r="AM45" s="82"/>
    </row>
    <row r="46" spans="1:42" s="91" customFormat="1" ht="12" customHeight="1">
      <c r="A46" s="108" t="s">
        <v>48</v>
      </c>
      <c r="B46" s="849" t="str">
        <f>IF(VLOOKUP("Reservice",Data!$A$1349:$I$1349,2,FALSE)="On","X","-")</f>
        <v>-</v>
      </c>
      <c r="C46" s="850" t="str">
        <f>IF(VLOOKUP("Reservice",Data!$A$1349:$I$1349,3,FALSE)="On","X","-")</f>
        <v>-</v>
      </c>
      <c r="D46" s="851" t="str">
        <f>IF(VLOOKUP("Reservice",Data!$A$1349:$I$1349,4,FALSE)="On","X","-")</f>
        <v>-</v>
      </c>
      <c r="E46" s="850" t="str">
        <f>IF(VLOOKUP("Reservice",Data!$A$1349:$I$1349,5,FALSE)="On","X","-")</f>
        <v>-</v>
      </c>
      <c r="F46" s="851" t="str">
        <f>IF(VLOOKUP("Reservice",Data!$A$1349:$I$1349,6,FALSE)="On","X","-")</f>
        <v>-</v>
      </c>
      <c r="G46" s="850" t="str">
        <f>IF(VLOOKUP("Reservice",Data!$A$1349:$I$1349,7,FALSE)="On","X","-")</f>
        <v>-</v>
      </c>
      <c r="H46" s="851" t="str">
        <f>IF(VLOOKUP("Reservice",Data!$A$1349:$I$1349,8,FALSE)="On","X","-")</f>
        <v>-</v>
      </c>
      <c r="I46" s="857" t="str">
        <f>IF(VLOOKUP("Reservice",Data!$A$1349:$I$1349,9,FALSE)="On","X","-")</f>
        <v>-</v>
      </c>
      <c r="J46" s="97"/>
      <c r="K46" s="198" t="s">
        <v>329</v>
      </c>
      <c r="L46" s="849" t="str">
        <f>IF(VLOOKUP("Non Act1",Data!$A$1403:$I$1403,2,FALSE)="On","X","-")</f>
        <v>-</v>
      </c>
      <c r="M46" s="850" t="str">
        <f>IF(VLOOKUP("Non Act1",Data!$A$1403:$I$1403,3,FALSE)="On","X","-")</f>
        <v>-</v>
      </c>
      <c r="N46" s="851" t="str">
        <f>IF(VLOOKUP("Non Act1",Data!$A$1403:$I$1403,4,FALSE)="On","X","-")</f>
        <v>-</v>
      </c>
      <c r="O46" s="850" t="str">
        <f>IF(VLOOKUP("Non Act1",Data!$A$1403:$I$1403,5,FALSE)="On","X","-")</f>
        <v>-</v>
      </c>
      <c r="P46" s="851" t="str">
        <f>IF(VLOOKUP("Non Act1",Data!$A$1403:$I$1403,6,FALSE)="On","X","-")</f>
        <v>-</v>
      </c>
      <c r="Q46" s="850" t="str">
        <f>IF(VLOOKUP("Non Act1",Data!$A$1403:$I$1403,7,FALSE)="On","X","-")</f>
        <v>-</v>
      </c>
      <c r="R46" s="851" t="str">
        <f>IF(VLOOKUP("Non Act1",Data!$A$1403:$I$1403,8,FALSE)="On","X","-")</f>
        <v>-</v>
      </c>
      <c r="S46" s="859" t="str">
        <f>IF(VLOOKUP("Non Act1",Data!$A$1403:$I$1403,9,FALSE)="On","X","-")</f>
        <v>-</v>
      </c>
      <c r="T46" s="2460"/>
      <c r="U46" s="2461"/>
      <c r="V46" s="2461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03"/>
      <c r="AH46" s="103"/>
      <c r="AI46" s="103"/>
      <c r="AJ46" s="104"/>
      <c r="AK46" s="82"/>
      <c r="AL46" s="82"/>
      <c r="AM46" s="82"/>
    </row>
    <row r="47" spans="1:42" s="91" customFormat="1" ht="12" customHeight="1">
      <c r="A47" s="108" t="s">
        <v>329</v>
      </c>
      <c r="B47" s="849" t="str">
        <f>IF(VLOOKUP("Non Act1",Data!$A$1346:$I$1346,2,FALSE)="On","X","-")</f>
        <v>-</v>
      </c>
      <c r="C47" s="850" t="str">
        <f>IF(VLOOKUP("Non Act1",Data!$A$1346:$I$1346,3,FALSE)="On","X","-")</f>
        <v>-</v>
      </c>
      <c r="D47" s="851" t="str">
        <f>IF(VLOOKUP("Non Act1",Data!$A$1346:$I$1346,4,FALSE)="On","X","-")</f>
        <v>-</v>
      </c>
      <c r="E47" s="850" t="str">
        <f>IF(VLOOKUP("Non Act1",Data!$A$1346:$I$1346,5,FALSE)="On","X","-")</f>
        <v>-</v>
      </c>
      <c r="F47" s="851" t="str">
        <f>IF(VLOOKUP("Non Act1",Data!$A$1346:$I$1346,6,FALSE)="On","X","-")</f>
        <v>-</v>
      </c>
      <c r="G47" s="850" t="str">
        <f>IF(VLOOKUP("Non Act1",Data!$A$1346:$I$1346,7,FALSE)="On","X","-")</f>
        <v>-</v>
      </c>
      <c r="H47" s="851" t="str">
        <f>IF(VLOOKUP("Non Act1",Data!$A$1346:$I$1346,8,FALSE)="On","X","-")</f>
        <v>-</v>
      </c>
      <c r="I47" s="857" t="str">
        <f>IF(VLOOKUP("Non Act1",Data!$A$1346:$I$1346,9,FALSE)="On","X","-")</f>
        <v>-</v>
      </c>
      <c r="J47" s="97"/>
      <c r="K47" s="198" t="s">
        <v>126</v>
      </c>
      <c r="L47" s="849" t="str">
        <f>IF(VLOOKUP("Red Rest",Data!$A$1405:$I$1405,2,FALSE)="On","X","-")</f>
        <v>-</v>
      </c>
      <c r="M47" s="850" t="str">
        <f>IF(VLOOKUP("Red Rest",Data!$A$1405:$I$1405,3,FALSE)="On","X","-")</f>
        <v>-</v>
      </c>
      <c r="N47" s="851" t="str">
        <f>IF(VLOOKUP("Red Rest",Data!$A$1405:$I$1405,4,FALSE)="On","X","-")</f>
        <v>-</v>
      </c>
      <c r="O47" s="850" t="str">
        <f>IF(VLOOKUP("Red Rest",Data!$A$1405:$I$1405,5,FALSE)="On","X","-")</f>
        <v>-</v>
      </c>
      <c r="P47" s="851" t="str">
        <f>IF(VLOOKUP("Red Rest",Data!$A$1405:$I$1405,6,FALSE)="On","X","-")</f>
        <v>-</v>
      </c>
      <c r="Q47" s="850" t="str">
        <f>IF(VLOOKUP("Red Rest",Data!$A$1405:$I$1405,7,FALSE)="On","X","-")</f>
        <v>-</v>
      </c>
      <c r="R47" s="851" t="str">
        <f>IF(VLOOKUP("Red Rest",Data!$A$1405:$I$1405,8,FALSE)="On","X","-")</f>
        <v>-</v>
      </c>
      <c r="S47" s="859" t="str">
        <f>IF(VLOOKUP("Red Rest",Data!$A$1405:$I$1405,9,FALSE)="On","X","-")</f>
        <v>-</v>
      </c>
      <c r="T47" s="2460"/>
      <c r="U47" s="2461"/>
      <c r="V47" s="246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03"/>
      <c r="AH47" s="103"/>
      <c r="AI47" s="103"/>
      <c r="AJ47" s="104"/>
      <c r="AK47" s="82"/>
      <c r="AL47" s="82"/>
      <c r="AM47" s="82"/>
    </row>
    <row r="48" spans="1:42" s="91" customFormat="1" ht="12" customHeight="1">
      <c r="A48" s="108" t="s">
        <v>126</v>
      </c>
      <c r="B48" s="849" t="str">
        <f>IF(VLOOKUP("Red Rest",Data!$A$1348:$I$1348,2,FALSE)="On","X","-")</f>
        <v>-</v>
      </c>
      <c r="C48" s="850" t="str">
        <f>IF(VLOOKUP("Red Rest",Data!$A$1348:$I$1348,3,FALSE)="On","X","-")</f>
        <v>-</v>
      </c>
      <c r="D48" s="851" t="str">
        <f>IF(VLOOKUP("Red Rest",Data!$A$1348:$I$1348,4,FALSE)="On","X","-")</f>
        <v>-</v>
      </c>
      <c r="E48" s="850" t="str">
        <f>IF(VLOOKUP("Red Rest",Data!$A$1348:$I$1348,5,FALSE)="On","X","-")</f>
        <v>-</v>
      </c>
      <c r="F48" s="851" t="str">
        <f>IF(VLOOKUP("Red Rest",Data!$A$1348:$I$1348,6,FALSE)="On","X","-")</f>
        <v>-</v>
      </c>
      <c r="G48" s="850" t="str">
        <f>IF(VLOOKUP("Red Rest",Data!$A$1348:$I$1348,7,FALSE)="On","X","-")</f>
        <v>-</v>
      </c>
      <c r="H48" s="851" t="str">
        <f>IF(VLOOKUP("Red Rest",Data!$A$1348:$I$1348,8,FALSE)="On","X","-")</f>
        <v>-</v>
      </c>
      <c r="I48" s="857" t="str">
        <f>IF(VLOOKUP("Red Rest",Data!$A$1348:$I$1348,9,FALSE)="On","X","-")</f>
        <v>-</v>
      </c>
      <c r="J48" s="97"/>
      <c r="K48" s="198" t="s">
        <v>115</v>
      </c>
      <c r="L48" s="849" t="str">
        <f>IF(VLOOKUP("Max 2",Data!$A$1401:$I$1401,2,FALSE)="On","X","-")</f>
        <v>-</v>
      </c>
      <c r="M48" s="850" t="str">
        <f>IF(VLOOKUP("Max 2",Data!$A$1401:$I$1401,3,FALSE)="On","X","-")</f>
        <v>-</v>
      </c>
      <c r="N48" s="851" t="str">
        <f>IF(VLOOKUP("Max 2",Data!$A$1401:$I$1401,4,FALSE)="On","X","-")</f>
        <v>-</v>
      </c>
      <c r="O48" s="850" t="str">
        <f>IF(VLOOKUP("Max 2",Data!$A$1401:$I$1401,5,FALSE)="On","X","-")</f>
        <v>-</v>
      </c>
      <c r="P48" s="851" t="str">
        <f>IF(VLOOKUP("Max 2",Data!$A$1401:$I$1401,6,FALSE)="On","X","-")</f>
        <v>-</v>
      </c>
      <c r="Q48" s="850" t="str">
        <f>IF(VLOOKUP("Max 2",Data!$A$1401:$I$1401,7,FALSE)="On","X","-")</f>
        <v>-</v>
      </c>
      <c r="R48" s="851" t="str">
        <f>IF(VLOOKUP("Max 2",Data!$A$1401:$I$1401,8,FALSE)="On","X","-")</f>
        <v>-</v>
      </c>
      <c r="S48" s="859" t="str">
        <f>IF(VLOOKUP("Max 2",Data!$A$1401:$I$1401,9,FALSE)="On","X","-")</f>
        <v>-</v>
      </c>
      <c r="T48" s="2465" t="s">
        <v>655</v>
      </c>
      <c r="U48" s="2466"/>
      <c r="V48" s="2464" t="str">
        <f>VLOOKUP("NAME",Data!$A:$I,2,FALSE)</f>
        <v>Alpha @ Beta</v>
      </c>
      <c r="W48" s="2464"/>
      <c r="X48" s="2464"/>
      <c r="Y48" s="2464"/>
      <c r="Z48" s="2464"/>
      <c r="AA48" s="2464"/>
      <c r="AB48" s="2464"/>
      <c r="AC48" s="2464"/>
      <c r="AD48" s="2464"/>
      <c r="AE48" s="2464"/>
      <c r="AF48" s="2464"/>
      <c r="AG48" s="2464"/>
      <c r="AH48" s="2464"/>
      <c r="AI48" s="2464"/>
      <c r="AJ48" s="2467"/>
      <c r="AK48" s="82"/>
      <c r="AL48" s="82"/>
      <c r="AM48" s="82"/>
    </row>
    <row r="49" spans="1:43" s="91" customFormat="1" ht="12" customHeight="1">
      <c r="A49" s="108" t="s">
        <v>115</v>
      </c>
      <c r="B49" s="849" t="str">
        <f>IF(VLOOKUP("Max 2",Data!$A$1344:$I$1344,2,FALSE)="On","X","-")</f>
        <v>-</v>
      </c>
      <c r="C49" s="850" t="str">
        <f>IF(VLOOKUP("Max 2",Data!$A$1344:$I$1344,3,FALSE)="On","X","-")</f>
        <v>-</v>
      </c>
      <c r="D49" s="851" t="str">
        <f>IF(VLOOKUP("Max 2",Data!$A$1344:$I$1344,4,FALSE)="On","X","-")</f>
        <v>-</v>
      </c>
      <c r="E49" s="850" t="str">
        <f>IF(VLOOKUP("Max 2",Data!$A$1344:$I$1344,5,FALSE)="On","X","-")</f>
        <v>-</v>
      </c>
      <c r="F49" s="851" t="str">
        <f>IF(VLOOKUP("Max 2",Data!$A$1344:$I$1344,6,FALSE)="On","X","-")</f>
        <v>-</v>
      </c>
      <c r="G49" s="850" t="str">
        <f>IF(VLOOKUP("Max 2",Data!$A$1344:$I$1344,7,FALSE)="On","X","-")</f>
        <v>-</v>
      </c>
      <c r="H49" s="851" t="str">
        <f>IF(VLOOKUP("Max 2",Data!$A$1344:$I$1344,8,FALSE)="On","X","-")</f>
        <v>-</v>
      </c>
      <c r="I49" s="857" t="str">
        <f>IF(VLOOKUP("Max 2",Data!$A$1344:$I$1344,9,FALSE)="On","X","-")</f>
        <v>-</v>
      </c>
      <c r="J49" s="97"/>
      <c r="K49" s="187" t="s">
        <v>125</v>
      </c>
      <c r="L49" s="849" t="str">
        <f>IF(VLOOKUP("Ped Delay",Data!$A$1404:$I$1404,2,FALSE)="On","X","-")</f>
        <v>-</v>
      </c>
      <c r="M49" s="850" t="str">
        <f>IF(VLOOKUP("Ped Delay",Data!$A$1404:$I$1404,3,FALSE)="On","X","-")</f>
        <v>-</v>
      </c>
      <c r="N49" s="851" t="str">
        <f>IF(VLOOKUP("Ped Delay",Data!$A$1404:$I$1404,4,FALSE)="On","X","-")</f>
        <v>-</v>
      </c>
      <c r="O49" s="850" t="str">
        <f>IF(VLOOKUP("Ped Delay",Data!$A$1404:$I$1404,5,FALSE)="On","X","-")</f>
        <v>-</v>
      </c>
      <c r="P49" s="851" t="str">
        <f>IF(VLOOKUP("Ped Delay",Data!$A$1404:$I$1404,6,FALSE)="On","X","-")</f>
        <v>-</v>
      </c>
      <c r="Q49" s="850" t="str">
        <f>IF(VLOOKUP("Ped Delay",Data!$A$1404:$I$1404,7,FALSE)="On","X","-")</f>
        <v>-</v>
      </c>
      <c r="R49" s="851" t="str">
        <f>IF(VLOOKUP("Ped Delay",Data!$A$1404:$I$1404,8,FALSE)="On","X","-")</f>
        <v>-</v>
      </c>
      <c r="S49" s="859" t="str">
        <f>IF(VLOOKUP("Ped Delay",Data!$A$1404:$I$1404,9,FALSE)="On","X","-")</f>
        <v>-</v>
      </c>
      <c r="T49" s="109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84"/>
      <c r="AK49" s="82"/>
      <c r="AL49" s="82"/>
      <c r="AM49" s="82"/>
    </row>
    <row r="50" spans="1:43" s="91" customFormat="1" ht="12" customHeight="1">
      <c r="A50" s="108" t="s">
        <v>125</v>
      </c>
      <c r="B50" s="849" t="str">
        <f>IF(VLOOKUP("Ped Delay",Data!$A$1347:$I$1347,2,FALSE)="On","X","-")</f>
        <v>-</v>
      </c>
      <c r="C50" s="850" t="str">
        <f>IF(VLOOKUP("Ped Delay",Data!$A$1347:$I$1347,3,FALSE)="On","X","-")</f>
        <v>-</v>
      </c>
      <c r="D50" s="851" t="str">
        <f>IF(VLOOKUP("Ped Delay",Data!$A$1347:$I$1347,4,FALSE)="On","X","-")</f>
        <v>-</v>
      </c>
      <c r="E50" s="850" t="str">
        <f>IF(VLOOKUP("Ped Delay",Data!$A$1347:$I$1347,5,FALSE)="On","X","-")</f>
        <v>-</v>
      </c>
      <c r="F50" s="851" t="str">
        <f>IF(VLOOKUP("Ped Delay",Data!$A$1347:$I$1347,6,FALSE)="On","X","-")</f>
        <v>-</v>
      </c>
      <c r="G50" s="850" t="str">
        <f>IF(VLOOKUP("Ped Delay",Data!$A$1347:$I$1347,7,FALSE)="On","X","-")</f>
        <v>-</v>
      </c>
      <c r="H50" s="851" t="str">
        <f>IF(VLOOKUP("Ped Delay",Data!$A$1347:$I$1347,8,FALSE)="On","X","-")</f>
        <v>-</v>
      </c>
      <c r="I50" s="857" t="str">
        <f>IF(VLOOKUP("Ped Delay",Data!$A$1347:$I$1347,9,FALSE)="On","X","-")</f>
        <v>-</v>
      </c>
      <c r="J50" s="97"/>
      <c r="K50" s="198" t="s">
        <v>330</v>
      </c>
      <c r="L50" s="849">
        <f>VLOOKUP("Conflicting Phs1",Data!$A$1396:$I$1396,2,FALSE)</f>
        <v>0</v>
      </c>
      <c r="M50" s="850">
        <f>VLOOKUP("Conflicting Phs1",Data!$A$1396:$I$1396,3,FALSE)</f>
        <v>0</v>
      </c>
      <c r="N50" s="851">
        <f>VLOOKUP("Conflicting Phs1",Data!$A$1396:$I$1396,4,FALSE)</f>
        <v>0</v>
      </c>
      <c r="O50" s="850">
        <f>VLOOKUP("Conflicting Phs1",Data!$A$1396:$I$1396,5,FALSE)</f>
        <v>0</v>
      </c>
      <c r="P50" s="851">
        <f>VLOOKUP("Conflicting Phs1",Data!$A$1396:$I$1396,6,FALSE)</f>
        <v>0</v>
      </c>
      <c r="Q50" s="850">
        <f>VLOOKUP("Conflicting Phs1",Data!$A$1396:$I$1396,7,FALSE)</f>
        <v>0</v>
      </c>
      <c r="R50" s="851">
        <f>VLOOKUP("Conflicting Phs1",Data!$A$1396:$I$1396,8,FALSE)</f>
        <v>0</v>
      </c>
      <c r="S50" s="859">
        <f>VLOOKUP("Conflicting Phs1",Data!$A$1396:$I$1396,9,FALSE)</f>
        <v>0</v>
      </c>
      <c r="T50" s="2468">
        <f ca="1">TODAY()</f>
        <v>45364</v>
      </c>
      <c r="U50" s="2469"/>
      <c r="V50" s="2469"/>
      <c r="W50" s="200" t="s">
        <v>637</v>
      </c>
      <c r="X50" s="2464">
        <f>VLOOKUP("ID",Data!$A:$I,2,FALSE)</f>
        <v>0</v>
      </c>
      <c r="Y50" s="2464"/>
      <c r="Z50" s="110"/>
      <c r="AA50" s="110"/>
      <c r="AB50" s="110"/>
      <c r="AC50" s="110"/>
      <c r="AD50" s="110"/>
      <c r="AE50" s="110"/>
      <c r="AF50" s="110"/>
      <c r="AG50" s="103"/>
      <c r="AH50" s="2470" t="s">
        <v>3963</v>
      </c>
      <c r="AI50" s="2470"/>
      <c r="AJ50" s="2471"/>
      <c r="AK50" s="82"/>
      <c r="AL50" s="82"/>
      <c r="AM50" s="82"/>
    </row>
    <row r="51" spans="1:43" s="91" customFormat="1" ht="12" customHeight="1">
      <c r="A51" s="210" t="s">
        <v>330</v>
      </c>
      <c r="B51" s="849">
        <f>VLOOKUP("Conflicting Phs1",Data!$A$1339:$I$1339,2,FALSE)</f>
        <v>0</v>
      </c>
      <c r="C51" s="850">
        <f>VLOOKUP("Conflicting Phs1",Data!$A$1339:$I$1339,3,FALSE)</f>
        <v>0</v>
      </c>
      <c r="D51" s="851">
        <f>VLOOKUP("Conflicting Phs1",Data!$A$1339:$I$1339,4,FALSE)</f>
        <v>0</v>
      </c>
      <c r="E51" s="850">
        <f>VLOOKUP("Conflicting Phs1",Data!$A$1339:$I$1339,5,FALSE)</f>
        <v>0</v>
      </c>
      <c r="F51" s="851">
        <f>VLOOKUP("Conflicting Phs1",Data!$A$1339:$I$1339,6,FALSE)</f>
        <v>0</v>
      </c>
      <c r="G51" s="850">
        <f>VLOOKUP("Conflicting Phs1",Data!$A$1339:$I$1339,7,FALSE)</f>
        <v>0</v>
      </c>
      <c r="H51" s="851">
        <f>VLOOKUP("Conflicting Phs1",Data!$A$1339:$I$1339,8,FALSE)</f>
        <v>0</v>
      </c>
      <c r="I51" s="857">
        <f>VLOOKUP("Conflicting Phs1",Data!$A$1339:$I$1339,9,FALSE)</f>
        <v>0</v>
      </c>
      <c r="J51" s="97"/>
      <c r="K51" s="187"/>
      <c r="L51" s="860"/>
      <c r="M51" s="861"/>
      <c r="N51" s="862"/>
      <c r="O51" s="861"/>
      <c r="P51" s="862"/>
      <c r="Q51" s="861"/>
      <c r="R51" s="862"/>
      <c r="S51" s="863"/>
      <c r="T51" s="190"/>
      <c r="U51" s="186"/>
      <c r="V51" s="186"/>
      <c r="W51" s="200"/>
      <c r="X51" s="199"/>
      <c r="Y51" s="199"/>
      <c r="Z51" s="110"/>
      <c r="AA51" s="110"/>
      <c r="AB51" s="110"/>
      <c r="AC51" s="110"/>
      <c r="AD51" s="110"/>
      <c r="AE51" s="110"/>
      <c r="AF51" s="110"/>
      <c r="AG51" s="103"/>
      <c r="AH51" s="2470"/>
      <c r="AI51" s="2470"/>
      <c r="AJ51" s="2471"/>
      <c r="AK51" s="82"/>
      <c r="AL51" s="82"/>
      <c r="AM51" s="82"/>
    </row>
    <row r="52" spans="1:43" s="91" customFormat="1" ht="12" customHeight="1" thickBot="1">
      <c r="A52" s="111"/>
      <c r="B52" s="853"/>
      <c r="C52" s="854"/>
      <c r="D52" s="855"/>
      <c r="E52" s="854"/>
      <c r="F52" s="855"/>
      <c r="G52" s="854"/>
      <c r="H52" s="855"/>
      <c r="I52" s="858"/>
      <c r="J52" s="112"/>
      <c r="K52" s="2462"/>
      <c r="L52" s="2463"/>
      <c r="M52" s="2463"/>
      <c r="N52" s="2463"/>
      <c r="O52" s="2463"/>
      <c r="P52" s="2463"/>
      <c r="Q52" s="2463"/>
      <c r="R52" s="2463"/>
      <c r="S52" s="2463"/>
      <c r="T52" s="188"/>
      <c r="U52" s="185"/>
      <c r="V52" s="185"/>
      <c r="W52" s="185"/>
      <c r="X52" s="185"/>
      <c r="Y52" s="90"/>
      <c r="Z52" s="113"/>
      <c r="AA52" s="113"/>
      <c r="AB52" s="113"/>
      <c r="AC52" s="113"/>
      <c r="AD52" s="113"/>
      <c r="AE52" s="113"/>
      <c r="AF52" s="113"/>
      <c r="AG52" s="90"/>
      <c r="AH52" s="2472"/>
      <c r="AI52" s="2472"/>
      <c r="AJ52" s="2473"/>
      <c r="AK52" s="82"/>
      <c r="AL52" s="82"/>
      <c r="AM52" s="82"/>
    </row>
    <row r="53" spans="1:43" s="91" customFormat="1" ht="9" customHeight="1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AN53" s="93"/>
      <c r="AO53" s="93"/>
      <c r="AP53" s="93"/>
      <c r="AQ53" s="93"/>
    </row>
    <row r="54" spans="1:43" s="91" customFormat="1" ht="9" customHeight="1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43" s="91" customFormat="1" ht="9" customHeight="1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43" s="91" customFormat="1" ht="9" customHeight="1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43" s="91" customFormat="1" ht="9" customHeight="1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43" s="91" customFormat="1" ht="9" customHeight="1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43" s="91" customFormat="1" ht="9" customHeight="1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43" s="91" customFormat="1" ht="9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43" s="91" customFormat="1" ht="9" customHeight="1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43" s="91" customFormat="1" ht="9" customHeight="1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43" s="91" customFormat="1" ht="9" customHeight="1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43" s="91" customFormat="1" ht="9" customHeight="1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="91" customFormat="1" ht="9" customHeight="1"/>
    <row r="66" s="91" customFormat="1" ht="9" customHeight="1"/>
    <row r="67" s="91" customFormat="1" ht="9" customHeight="1"/>
    <row r="68" s="91" customFormat="1" ht="9" customHeight="1"/>
    <row r="69" s="91" customFormat="1" ht="9.9" customHeight="1"/>
    <row r="70" s="91" customFormat="1" ht="12" customHeight="1"/>
    <row r="71" s="91" customFormat="1" ht="12" customHeight="1"/>
    <row r="72" s="91" customFormat="1" ht="12" customHeight="1"/>
    <row r="73" s="91" customFormat="1" ht="12" customHeight="1"/>
    <row r="74" s="91" customFormat="1" ht="12" customHeight="1"/>
    <row r="75" s="91" customFormat="1" ht="12" customHeight="1"/>
    <row r="76" s="91" customFormat="1" ht="12" customHeight="1"/>
    <row r="77" s="91" customFormat="1" ht="12" customHeight="1"/>
    <row r="78" s="91" customFormat="1" ht="12" customHeight="1"/>
    <row r="79" s="91" customFormat="1" ht="12" customHeight="1"/>
    <row r="80" s="91" customFormat="1" ht="12" customHeight="1"/>
    <row r="81" s="91" customFormat="1" ht="12" customHeight="1"/>
    <row r="82" s="91" customFormat="1" ht="12" customHeight="1"/>
    <row r="83" s="91" customFormat="1" ht="12" customHeight="1"/>
    <row r="84" s="91" customFormat="1" ht="12" customHeight="1"/>
    <row r="85" s="91" customFormat="1" ht="12" customHeight="1"/>
    <row r="86" s="91" customFormat="1" ht="12" customHeight="1"/>
    <row r="87" s="91" customFormat="1" ht="12" customHeight="1"/>
    <row r="88" s="91" customFormat="1" ht="12" customHeight="1"/>
    <row r="89" s="91" customFormat="1" ht="12" customHeight="1"/>
    <row r="90" s="91" customFormat="1" ht="12" customHeight="1"/>
    <row r="91" s="91" customFormat="1" ht="12" customHeight="1"/>
    <row r="92" s="91" customFormat="1" ht="12" customHeight="1"/>
    <row r="93" s="91" customFormat="1" ht="12" customHeight="1"/>
    <row r="94" s="91" customFormat="1" ht="12" customHeight="1"/>
    <row r="95" s="91" customFormat="1" ht="12" customHeight="1"/>
    <row r="96" s="91" customFormat="1" ht="12" customHeight="1"/>
    <row r="97" s="91" customFormat="1" ht="12" customHeight="1"/>
    <row r="98" s="91" customFormat="1" ht="12" customHeight="1"/>
    <row r="99" s="91" customFormat="1" ht="12" customHeight="1"/>
    <row r="100" s="91" customFormat="1" ht="12" customHeight="1"/>
    <row r="101" s="91" customFormat="1" ht="12" customHeight="1"/>
    <row r="102" s="91" customFormat="1" ht="12" customHeight="1"/>
    <row r="103" s="91" customFormat="1" ht="12" customHeight="1"/>
    <row r="104" s="91" customFormat="1" ht="12" customHeight="1"/>
    <row r="105" s="91" customFormat="1" ht="12" customHeight="1"/>
    <row r="106" s="91" customFormat="1" ht="12" customHeight="1"/>
    <row r="107" s="91" customFormat="1" ht="12" customHeight="1"/>
    <row r="108" s="91" customFormat="1" ht="12" customHeight="1"/>
    <row r="109" s="91" customFormat="1" ht="12" customHeight="1"/>
    <row r="110" s="91" customFormat="1" ht="12" customHeight="1"/>
    <row r="111" s="91" customFormat="1" ht="12" customHeight="1"/>
    <row r="112" s="91" customFormat="1" ht="12" customHeight="1"/>
    <row r="113" s="91" customFormat="1" ht="12" customHeight="1"/>
    <row r="114" s="91" customFormat="1" ht="12" customHeight="1"/>
    <row r="115" s="91" customFormat="1" ht="12" customHeight="1"/>
    <row r="116" s="91" customFormat="1" ht="12" customHeight="1"/>
    <row r="117" s="91" customFormat="1" ht="12" customHeight="1"/>
    <row r="118" s="91" customFormat="1" ht="12" customHeight="1"/>
    <row r="119" s="91" customFormat="1" ht="12" customHeight="1"/>
    <row r="120" s="91" customFormat="1" ht="12" customHeight="1"/>
    <row r="121" s="91" customFormat="1" ht="12" customHeight="1"/>
    <row r="122" s="91" customFormat="1" ht="12" customHeight="1"/>
    <row r="123" s="91" customFormat="1" ht="12" customHeight="1"/>
    <row r="124" s="91" customFormat="1" ht="12" customHeight="1"/>
    <row r="125" s="91" customFormat="1" ht="12" customHeight="1"/>
    <row r="126" s="91" customFormat="1" ht="12" customHeight="1"/>
    <row r="127" s="91" customFormat="1" ht="12" customHeight="1"/>
    <row r="128" s="91" customFormat="1" ht="12" customHeight="1"/>
    <row r="129" s="91" customFormat="1" ht="12" customHeight="1"/>
    <row r="130" s="91" customFormat="1" ht="12" customHeight="1"/>
    <row r="131" s="91" customFormat="1" ht="12" customHeight="1"/>
    <row r="132" s="91" customFormat="1" ht="12" customHeight="1"/>
    <row r="133" s="91" customFormat="1" ht="12" customHeight="1"/>
    <row r="134" s="91" customFormat="1" ht="12" customHeight="1"/>
    <row r="135" s="91" customFormat="1" ht="12" customHeight="1"/>
    <row r="136" s="91" customFormat="1" ht="12" customHeight="1"/>
    <row r="137" s="91" customFormat="1" ht="12" customHeight="1"/>
    <row r="138" s="91" customFormat="1" ht="12" customHeight="1"/>
    <row r="139" s="91" customFormat="1" ht="12" customHeight="1"/>
  </sheetData>
  <sheetProtection selectLockedCells="1" selectUnlockedCells="1"/>
  <mergeCells count="34">
    <mergeCell ref="Y35:AB35"/>
    <mergeCell ref="T46:V47"/>
    <mergeCell ref="K52:S52"/>
    <mergeCell ref="X50:Y50"/>
    <mergeCell ref="T48:U48"/>
    <mergeCell ref="V48:AJ48"/>
    <mergeCell ref="T50:V50"/>
    <mergeCell ref="AH50:AJ52"/>
    <mergeCell ref="U42:AI45"/>
    <mergeCell ref="T1:AJ1"/>
    <mergeCell ref="T2:T3"/>
    <mergeCell ref="U2:U3"/>
    <mergeCell ref="V2:V3"/>
    <mergeCell ref="W2:W3"/>
    <mergeCell ref="X2:X3"/>
    <mergeCell ref="Y2:AF2"/>
    <mergeCell ref="AG2:AG3"/>
    <mergeCell ref="AJ2:AJ3"/>
    <mergeCell ref="A23:I23"/>
    <mergeCell ref="A35:I35"/>
    <mergeCell ref="T28:AJ28"/>
    <mergeCell ref="AH2:AH3"/>
    <mergeCell ref="AI2:AI3"/>
    <mergeCell ref="T32:W32"/>
    <mergeCell ref="X30:AA30"/>
    <mergeCell ref="T30:W30"/>
    <mergeCell ref="T31:W31"/>
    <mergeCell ref="X31:AA31"/>
    <mergeCell ref="T33:W33"/>
    <mergeCell ref="Y32:AA32"/>
    <mergeCell ref="Y33:AB33"/>
    <mergeCell ref="V34:W34"/>
    <mergeCell ref="V35:W35"/>
    <mergeCell ref="Y34:AB34"/>
  </mergeCells>
  <conditionalFormatting sqref="AH4:AJ4 AI4:AJ27 B3:I11 L3:S17 L20:S34 L37:S51 B38:I52 B14:I22 B26:I34 U4:X27">
    <cfRule type="cellIs" dxfId="5" priority="1" stopIfTrue="1" operator="equal">
      <formula>0</formula>
    </cfRule>
  </conditionalFormatting>
  <printOptions horizontalCentered="1" verticalCentered="1"/>
  <pageMargins left="0.12" right="0.12" top="0.12" bottom="0.12" header="0.28000000000000003" footer="0.25"/>
  <pageSetup scale="95" fitToHeight="6" orientation="landscape" horizontalDpi="525" verticalDpi="52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0000"/>
    <pageSetUpPr fitToPage="1"/>
  </sheetPr>
  <dimension ref="A1:BV175"/>
  <sheetViews>
    <sheetView zoomScaleNormal="100" zoomScaleSheetLayoutView="100" workbookViewId="0">
      <selection activeCell="U43" sqref="U43"/>
    </sheetView>
  </sheetViews>
  <sheetFormatPr defaultRowHeight="21.9" customHeight="1"/>
  <cols>
    <col min="1" max="1" width="3.44140625" style="2" customWidth="1"/>
    <col min="2" max="2" width="3" style="2" customWidth="1"/>
    <col min="3" max="5" width="2.88671875" style="2" customWidth="1"/>
    <col min="6" max="6" width="3" style="2" customWidth="1"/>
    <col min="7" max="9" width="2.88671875" style="2" customWidth="1"/>
    <col min="10" max="10" width="3" style="2" customWidth="1"/>
    <col min="11" max="13" width="2.88671875" style="2" customWidth="1"/>
    <col min="14" max="14" width="1" customWidth="1"/>
    <col min="15" max="15" width="3" customWidth="1"/>
    <col min="16" max="18" width="2.88671875" customWidth="1"/>
    <col min="19" max="19" width="3.33203125" customWidth="1"/>
    <col min="20" max="20" width="3" customWidth="1"/>
    <col min="21" max="21" width="2.88671875" customWidth="1"/>
    <col min="22" max="22" width="0.88671875" customWidth="1"/>
    <col min="23" max="53" width="2.109375" customWidth="1"/>
    <col min="54" max="54" width="3" customWidth="1"/>
    <col min="55" max="55" width="3" style="2" customWidth="1"/>
    <col min="56" max="58" width="3" customWidth="1"/>
    <col min="59" max="59" width="8.6640625" customWidth="1"/>
    <col min="60" max="60" width="9.44140625" customWidth="1"/>
    <col min="61" max="61" width="3" customWidth="1"/>
  </cols>
  <sheetData>
    <row r="1" spans="1:74" s="116" customFormat="1" ht="12" customHeight="1" thickBot="1">
      <c r="A1" s="1360" t="s">
        <v>335</v>
      </c>
      <c r="B1" s="1378"/>
      <c r="C1" s="1379"/>
      <c r="D1" s="1379"/>
      <c r="E1" s="1379"/>
      <c r="F1" s="1380"/>
      <c r="G1" s="2474" t="s">
        <v>336</v>
      </c>
      <c r="H1" s="2475"/>
      <c r="I1" s="2475"/>
      <c r="J1" s="2475"/>
      <c r="K1" s="2475"/>
      <c r="L1" s="2475"/>
      <c r="M1" s="2475"/>
      <c r="N1" s="2476"/>
      <c r="O1" s="2474" t="s">
        <v>337</v>
      </c>
      <c r="P1" s="2475"/>
      <c r="Q1" s="2475"/>
      <c r="R1" s="2475"/>
      <c r="S1" s="2475"/>
      <c r="T1" s="2475"/>
      <c r="U1" s="2476"/>
      <c r="V1" s="114"/>
      <c r="W1" s="2474" t="s">
        <v>35</v>
      </c>
      <c r="X1" s="2475"/>
      <c r="Y1" s="2475"/>
      <c r="Z1" s="2475"/>
      <c r="AA1" s="2475"/>
      <c r="AB1" s="2475"/>
      <c r="AC1" s="2475"/>
      <c r="AD1" s="2475"/>
      <c r="AE1" s="2475"/>
      <c r="AF1" s="2475"/>
      <c r="AG1" s="2475"/>
      <c r="AH1" s="2475"/>
      <c r="AI1" s="2475"/>
      <c r="AJ1" s="2475"/>
      <c r="AK1" s="2475"/>
      <c r="AL1" s="2475"/>
      <c r="AM1" s="2475"/>
      <c r="AN1" s="2475"/>
      <c r="AO1" s="2475"/>
      <c r="AP1" s="2475"/>
      <c r="AQ1" s="2475"/>
      <c r="AR1" s="2475"/>
      <c r="AS1" s="2475"/>
      <c r="AT1" s="2475"/>
      <c r="AU1" s="2475"/>
      <c r="AV1" s="2475"/>
      <c r="AW1" s="2475"/>
      <c r="AX1" s="2475"/>
      <c r="AY1" s="2475"/>
      <c r="AZ1" s="2475"/>
      <c r="BA1" s="2476"/>
      <c r="BB1" s="1401" t="s">
        <v>338</v>
      </c>
      <c r="BC1" s="1402"/>
      <c r="BD1" s="2489" t="str">
        <f>Data!B124</f>
        <v>Alpha @ Beta</v>
      </c>
      <c r="BE1" s="2490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</row>
    <row r="2" spans="1:74" s="116" customFormat="1" ht="12" customHeight="1">
      <c r="A2" s="2477">
        <v>1</v>
      </c>
      <c r="B2" s="1382" t="s">
        <v>339</v>
      </c>
      <c r="C2" s="1367" t="s">
        <v>257</v>
      </c>
      <c r="D2" s="1367" t="s">
        <v>340</v>
      </c>
      <c r="E2" s="1367" t="s">
        <v>239</v>
      </c>
      <c r="F2" s="1367" t="s">
        <v>340</v>
      </c>
      <c r="G2" s="1367" t="s">
        <v>339</v>
      </c>
      <c r="H2" s="1367" t="s">
        <v>339</v>
      </c>
      <c r="I2" s="1367" t="s">
        <v>239</v>
      </c>
      <c r="J2" s="1367" t="s">
        <v>341</v>
      </c>
      <c r="K2" s="1366" t="s">
        <v>55</v>
      </c>
      <c r="L2" s="1366" t="s">
        <v>342</v>
      </c>
      <c r="M2" s="1366" t="s">
        <v>251</v>
      </c>
      <c r="N2" s="1367"/>
      <c r="O2" s="1367" t="s">
        <v>341</v>
      </c>
      <c r="P2" s="1367" t="s">
        <v>340</v>
      </c>
      <c r="Q2" s="1367" t="s">
        <v>343</v>
      </c>
      <c r="R2" s="1367" t="s">
        <v>344</v>
      </c>
      <c r="S2" s="1367" t="s">
        <v>343</v>
      </c>
      <c r="T2" s="1367" t="s">
        <v>257</v>
      </c>
      <c r="U2" s="1367" t="s">
        <v>341</v>
      </c>
      <c r="V2" s="1367"/>
      <c r="W2" s="1383">
        <v>1</v>
      </c>
      <c r="X2" s="1383">
        <v>2</v>
      </c>
      <c r="Y2" s="1383">
        <v>3</v>
      </c>
      <c r="Z2" s="1383">
        <v>4</v>
      </c>
      <c r="AA2" s="1383">
        <v>5</v>
      </c>
      <c r="AB2" s="1383">
        <v>6</v>
      </c>
      <c r="AC2" s="1383">
        <v>7</v>
      </c>
      <c r="AD2" s="1383">
        <v>8</v>
      </c>
      <c r="AE2" s="1383">
        <v>9</v>
      </c>
      <c r="AF2" s="1383">
        <v>10</v>
      </c>
      <c r="AG2" s="1383">
        <v>11</v>
      </c>
      <c r="AH2" s="1383">
        <v>12</v>
      </c>
      <c r="AI2" s="1383">
        <v>13</v>
      </c>
      <c r="AJ2" s="1383">
        <v>14</v>
      </c>
      <c r="AK2" s="1383">
        <v>15</v>
      </c>
      <c r="AL2" s="1383">
        <v>16</v>
      </c>
      <c r="AM2" s="1383">
        <v>17</v>
      </c>
      <c r="AN2" s="1383">
        <v>18</v>
      </c>
      <c r="AO2" s="1383">
        <v>19</v>
      </c>
      <c r="AP2" s="1383">
        <v>20</v>
      </c>
      <c r="AQ2" s="1383">
        <v>21</v>
      </c>
      <c r="AR2" s="1383">
        <v>22</v>
      </c>
      <c r="AS2" s="1383">
        <v>23</v>
      </c>
      <c r="AT2" s="1383">
        <v>24</v>
      </c>
      <c r="AU2" s="1383">
        <v>25</v>
      </c>
      <c r="AV2" s="1383">
        <v>26</v>
      </c>
      <c r="AW2" s="1383">
        <v>27</v>
      </c>
      <c r="AX2" s="1383">
        <v>28</v>
      </c>
      <c r="AY2" s="1383">
        <v>29</v>
      </c>
      <c r="AZ2" s="1383">
        <v>30</v>
      </c>
      <c r="BA2" s="1383">
        <v>31</v>
      </c>
      <c r="BB2" s="2497">
        <f>VLOOKUP("Plan",Data!$A:$Z,2,FALSE)</f>
        <v>1</v>
      </c>
      <c r="BC2" s="2498"/>
      <c r="BD2" s="2491"/>
      <c r="BE2" s="2492"/>
      <c r="BF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</row>
    <row r="3" spans="1:74" s="116" customFormat="1" ht="12" customHeight="1" thickBot="1">
      <c r="A3" s="2478"/>
      <c r="B3" s="1384" t="s">
        <v>34</v>
      </c>
      <c r="C3" s="1385" t="s">
        <v>34</v>
      </c>
      <c r="D3" s="1385" t="s">
        <v>34</v>
      </c>
      <c r="E3" s="1385" t="s">
        <v>34</v>
      </c>
      <c r="F3" s="1385" t="s">
        <v>34</v>
      </c>
      <c r="G3" s="1385" t="s">
        <v>34</v>
      </c>
      <c r="H3" s="1385" t="s">
        <v>34</v>
      </c>
      <c r="I3" s="1385" t="s">
        <v>34</v>
      </c>
      <c r="J3" s="1385" t="s">
        <v>34</v>
      </c>
      <c r="K3" s="1385" t="s">
        <v>34</v>
      </c>
      <c r="L3" s="1385" t="s">
        <v>34</v>
      </c>
      <c r="M3" s="1385" t="s">
        <v>34</v>
      </c>
      <c r="N3" s="1386"/>
      <c r="O3" s="1385" t="str">
        <f>IF(VLOOKUP("Sun",Data!$A:$Z,2,FALSE)="On", "X", " ")</f>
        <v xml:space="preserve"> </v>
      </c>
      <c r="P3" s="1385" t="s">
        <v>34</v>
      </c>
      <c r="Q3" s="1385" t="s">
        <v>34</v>
      </c>
      <c r="R3" s="1385" t="s">
        <v>34</v>
      </c>
      <c r="S3" s="1385" t="s">
        <v>34</v>
      </c>
      <c r="T3" s="1385" t="s">
        <v>34</v>
      </c>
      <c r="U3" s="1385" t="str">
        <f>IF(VLOOKUP("Sat",Data!$A:$Z,2,FALSE)="On", "X", " ")</f>
        <v xml:space="preserve"> </v>
      </c>
      <c r="V3" s="1387"/>
      <c r="W3" s="1385" t="s">
        <v>34</v>
      </c>
      <c r="X3" s="1385" t="s">
        <v>34</v>
      </c>
      <c r="Y3" s="1385" t="s">
        <v>34</v>
      </c>
      <c r="Z3" s="1385" t="s">
        <v>34</v>
      </c>
      <c r="AA3" s="1385" t="s">
        <v>34</v>
      </c>
      <c r="AB3" s="1385" t="s">
        <v>34</v>
      </c>
      <c r="AC3" s="1385" t="s">
        <v>34</v>
      </c>
      <c r="AD3" s="1385" t="s">
        <v>34</v>
      </c>
      <c r="AE3" s="1385" t="s">
        <v>34</v>
      </c>
      <c r="AF3" s="1385" t="s">
        <v>34</v>
      </c>
      <c r="AG3" s="1385" t="s">
        <v>34</v>
      </c>
      <c r="AH3" s="1385" t="s">
        <v>34</v>
      </c>
      <c r="AI3" s="1385" t="s">
        <v>34</v>
      </c>
      <c r="AJ3" s="1385" t="s">
        <v>34</v>
      </c>
      <c r="AK3" s="1385" t="s">
        <v>34</v>
      </c>
      <c r="AL3" s="1385" t="s">
        <v>34</v>
      </c>
      <c r="AM3" s="1385" t="s">
        <v>34</v>
      </c>
      <c r="AN3" s="1385" t="s">
        <v>34</v>
      </c>
      <c r="AO3" s="1385" t="s">
        <v>34</v>
      </c>
      <c r="AP3" s="1385" t="s">
        <v>34</v>
      </c>
      <c r="AQ3" s="1385" t="s">
        <v>34</v>
      </c>
      <c r="AR3" s="1385" t="s">
        <v>34</v>
      </c>
      <c r="AS3" s="1385" t="s">
        <v>34</v>
      </c>
      <c r="AT3" s="1385" t="s">
        <v>34</v>
      </c>
      <c r="AU3" s="1385" t="s">
        <v>34</v>
      </c>
      <c r="AV3" s="1385" t="s">
        <v>34</v>
      </c>
      <c r="AW3" s="1385" t="s">
        <v>34</v>
      </c>
      <c r="AX3" s="1385" t="s">
        <v>34</v>
      </c>
      <c r="AY3" s="1385" t="s">
        <v>34</v>
      </c>
      <c r="AZ3" s="1385" t="s">
        <v>34</v>
      </c>
      <c r="BA3" s="1388" t="s">
        <v>34</v>
      </c>
      <c r="BB3" s="2499"/>
      <c r="BC3" s="2500"/>
      <c r="BD3" s="2491"/>
      <c r="BE3" s="2492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</row>
    <row r="4" spans="1:74" s="116" customFormat="1" ht="12" customHeight="1">
      <c r="A4" s="2479">
        <v>2</v>
      </c>
      <c r="B4" s="1381" t="s">
        <v>339</v>
      </c>
      <c r="C4" s="1346" t="s">
        <v>257</v>
      </c>
      <c r="D4" s="1346" t="s">
        <v>340</v>
      </c>
      <c r="E4" s="1346" t="s">
        <v>239</v>
      </c>
      <c r="F4" s="1346" t="s">
        <v>340</v>
      </c>
      <c r="G4" s="1346" t="s">
        <v>339</v>
      </c>
      <c r="H4" s="1346" t="s">
        <v>339</v>
      </c>
      <c r="I4" s="1346" t="s">
        <v>239</v>
      </c>
      <c r="J4" s="1346" t="s">
        <v>341</v>
      </c>
      <c r="K4" s="1346" t="s">
        <v>55</v>
      </c>
      <c r="L4" s="1346" t="s">
        <v>342</v>
      </c>
      <c r="M4" s="1346" t="s">
        <v>251</v>
      </c>
      <c r="N4" s="1346"/>
      <c r="O4" s="1346" t="s">
        <v>341</v>
      </c>
      <c r="P4" s="1346" t="s">
        <v>340</v>
      </c>
      <c r="Q4" s="1346" t="s">
        <v>343</v>
      </c>
      <c r="R4" s="1346" t="s">
        <v>344</v>
      </c>
      <c r="S4" s="1346" t="s">
        <v>343</v>
      </c>
      <c r="T4" s="1346" t="s">
        <v>257</v>
      </c>
      <c r="U4" s="1346" t="s">
        <v>341</v>
      </c>
      <c r="V4" s="1346" t="s">
        <v>34</v>
      </c>
      <c r="W4" s="1363">
        <v>1</v>
      </c>
      <c r="X4" s="1363">
        <v>2</v>
      </c>
      <c r="Y4" s="1363">
        <v>3</v>
      </c>
      <c r="Z4" s="1363">
        <v>4</v>
      </c>
      <c r="AA4" s="1363">
        <v>5</v>
      </c>
      <c r="AB4" s="1363">
        <v>6</v>
      </c>
      <c r="AC4" s="1363">
        <v>7</v>
      </c>
      <c r="AD4" s="1363">
        <v>8</v>
      </c>
      <c r="AE4" s="1363">
        <v>9</v>
      </c>
      <c r="AF4" s="1363">
        <v>10</v>
      </c>
      <c r="AG4" s="1363">
        <v>11</v>
      </c>
      <c r="AH4" s="1363">
        <v>12</v>
      </c>
      <c r="AI4" s="1363">
        <v>13</v>
      </c>
      <c r="AJ4" s="1363">
        <v>14</v>
      </c>
      <c r="AK4" s="1363">
        <v>15</v>
      </c>
      <c r="AL4" s="1363">
        <v>16</v>
      </c>
      <c r="AM4" s="1363">
        <v>17</v>
      </c>
      <c r="AN4" s="1363">
        <v>18</v>
      </c>
      <c r="AO4" s="1363">
        <v>19</v>
      </c>
      <c r="AP4" s="1363">
        <v>20</v>
      </c>
      <c r="AQ4" s="1363">
        <v>21</v>
      </c>
      <c r="AR4" s="1363">
        <v>22</v>
      </c>
      <c r="AS4" s="1363">
        <v>23</v>
      </c>
      <c r="AT4" s="1363">
        <v>24</v>
      </c>
      <c r="AU4" s="1363">
        <v>25</v>
      </c>
      <c r="AV4" s="1363">
        <v>26</v>
      </c>
      <c r="AW4" s="1363">
        <v>27</v>
      </c>
      <c r="AX4" s="1363">
        <v>28</v>
      </c>
      <c r="AY4" s="1363">
        <v>29</v>
      </c>
      <c r="AZ4" s="1363">
        <v>30</v>
      </c>
      <c r="BA4" s="1363">
        <v>31</v>
      </c>
      <c r="BB4" s="2501">
        <f>VLOOKUP("Plan",Data!$A:$Z,3,FALSE)</f>
        <v>2</v>
      </c>
      <c r="BC4" s="2502"/>
      <c r="BD4" s="2491"/>
      <c r="BE4" s="2492"/>
      <c r="BH4" s="115"/>
    </row>
    <row r="5" spans="1:74" s="116" customFormat="1" ht="12" customHeight="1" thickBot="1">
      <c r="A5" s="2480"/>
      <c r="B5" s="1389" t="s">
        <v>34</v>
      </c>
      <c r="C5" s="1390" t="s">
        <v>34</v>
      </c>
      <c r="D5" s="1390" t="s">
        <v>34</v>
      </c>
      <c r="E5" s="1390" t="s">
        <v>34</v>
      </c>
      <c r="F5" s="1390" t="s">
        <v>34</v>
      </c>
      <c r="G5" s="1390" t="s">
        <v>34</v>
      </c>
      <c r="H5" s="1390" t="s">
        <v>34</v>
      </c>
      <c r="I5" s="1390" t="s">
        <v>34</v>
      </c>
      <c r="J5" s="1390" t="s">
        <v>34</v>
      </c>
      <c r="K5" s="1390" t="s">
        <v>34</v>
      </c>
      <c r="L5" s="1390" t="s">
        <v>34</v>
      </c>
      <c r="M5" s="1390" t="s">
        <v>34</v>
      </c>
      <c r="N5" s="1346"/>
      <c r="O5" s="1391" t="str">
        <f>IF(VLOOKUP("Sun",Data!$A:$Z,3,FALSE)="On", "X", " ")</f>
        <v xml:space="preserve"> </v>
      </c>
      <c r="P5" s="1391" t="str">
        <f>IF(VLOOKUP("Mon",Data!$A:$Z,3,FALSE)="On", "X", " ")</f>
        <v xml:space="preserve"> </v>
      </c>
      <c r="Q5" s="1391" t="str">
        <f>IF(VLOOKUP("Tue",Data!$A:$Z,3,FALSE)="On", "X", " ")</f>
        <v xml:space="preserve"> </v>
      </c>
      <c r="R5" s="1391" t="str">
        <f>IF(VLOOKUP("Wed",Data!$A:$Z,3,FALSE)="On", "X", " ")</f>
        <v xml:space="preserve"> </v>
      </c>
      <c r="S5" s="1391" t="str">
        <f>IF(VLOOKUP("Thu",Data!$A:$Z,3,FALSE)="On", "X", " ")</f>
        <v xml:space="preserve"> </v>
      </c>
      <c r="T5" s="1391" t="str">
        <f>IF(VLOOKUP("Fri",Data!$A:$Z,3,FALSE)="On", "X", " ")</f>
        <v xml:space="preserve"> </v>
      </c>
      <c r="U5" s="1391" t="s">
        <v>34</v>
      </c>
      <c r="V5" s="1392" t="s">
        <v>34</v>
      </c>
      <c r="W5" s="1393" t="s">
        <v>34</v>
      </c>
      <c r="X5" s="1393" t="s">
        <v>34</v>
      </c>
      <c r="Y5" s="1393" t="s">
        <v>34</v>
      </c>
      <c r="Z5" s="1393" t="s">
        <v>34</v>
      </c>
      <c r="AA5" s="1393" t="s">
        <v>34</v>
      </c>
      <c r="AB5" s="1393" t="s">
        <v>34</v>
      </c>
      <c r="AC5" s="1393" t="s">
        <v>34</v>
      </c>
      <c r="AD5" s="1393" t="s">
        <v>34</v>
      </c>
      <c r="AE5" s="1393" t="s">
        <v>34</v>
      </c>
      <c r="AF5" s="1393" t="s">
        <v>34</v>
      </c>
      <c r="AG5" s="1393" t="s">
        <v>34</v>
      </c>
      <c r="AH5" s="1393" t="s">
        <v>34</v>
      </c>
      <c r="AI5" s="1393" t="s">
        <v>34</v>
      </c>
      <c r="AJ5" s="1393" t="s">
        <v>34</v>
      </c>
      <c r="AK5" s="1393" t="s">
        <v>34</v>
      </c>
      <c r="AL5" s="1393" t="s">
        <v>34</v>
      </c>
      <c r="AM5" s="1393" t="s">
        <v>34</v>
      </c>
      <c r="AN5" s="1393" t="s">
        <v>34</v>
      </c>
      <c r="AO5" s="1393" t="s">
        <v>34</v>
      </c>
      <c r="AP5" s="1393" t="s">
        <v>34</v>
      </c>
      <c r="AQ5" s="1393" t="s">
        <v>34</v>
      </c>
      <c r="AR5" s="1393" t="s">
        <v>34</v>
      </c>
      <c r="AS5" s="1393" t="s">
        <v>34</v>
      </c>
      <c r="AT5" s="1393" t="s">
        <v>34</v>
      </c>
      <c r="AU5" s="1393" t="s">
        <v>34</v>
      </c>
      <c r="AV5" s="1393" t="s">
        <v>34</v>
      </c>
      <c r="AW5" s="1393" t="s">
        <v>34</v>
      </c>
      <c r="AX5" s="1393" t="s">
        <v>34</v>
      </c>
      <c r="AY5" s="1393" t="s">
        <v>34</v>
      </c>
      <c r="AZ5" s="1393" t="s">
        <v>34</v>
      </c>
      <c r="BA5" s="1394" t="s">
        <v>34</v>
      </c>
      <c r="BB5" s="2503"/>
      <c r="BC5" s="2504"/>
      <c r="BD5" s="2491"/>
      <c r="BE5" s="2492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</row>
    <row r="6" spans="1:74" s="116" customFormat="1" ht="12" customHeight="1">
      <c r="A6" s="2477">
        <v>3</v>
      </c>
      <c r="B6" s="1382" t="s">
        <v>339</v>
      </c>
      <c r="C6" s="1367" t="s">
        <v>257</v>
      </c>
      <c r="D6" s="1367" t="s">
        <v>340</v>
      </c>
      <c r="E6" s="1367" t="s">
        <v>239</v>
      </c>
      <c r="F6" s="1367" t="s">
        <v>340</v>
      </c>
      <c r="G6" s="1367" t="s">
        <v>339</v>
      </c>
      <c r="H6" s="1367" t="s">
        <v>339</v>
      </c>
      <c r="I6" s="1367" t="s">
        <v>239</v>
      </c>
      <c r="J6" s="1367" t="s">
        <v>341</v>
      </c>
      <c r="K6" s="1367" t="s">
        <v>55</v>
      </c>
      <c r="L6" s="1367" t="s">
        <v>342</v>
      </c>
      <c r="M6" s="1367" t="s">
        <v>251</v>
      </c>
      <c r="N6" s="1367"/>
      <c r="O6" s="1367" t="s">
        <v>341</v>
      </c>
      <c r="P6" s="1367" t="s">
        <v>340</v>
      </c>
      <c r="Q6" s="1367" t="s">
        <v>343</v>
      </c>
      <c r="R6" s="1367" t="s">
        <v>344</v>
      </c>
      <c r="S6" s="1367" t="s">
        <v>343</v>
      </c>
      <c r="T6" s="1367" t="s">
        <v>257</v>
      </c>
      <c r="U6" s="1367" t="s">
        <v>341</v>
      </c>
      <c r="V6" s="1367"/>
      <c r="W6" s="1383">
        <v>1</v>
      </c>
      <c r="X6" s="1383">
        <v>2</v>
      </c>
      <c r="Y6" s="1383">
        <v>3</v>
      </c>
      <c r="Z6" s="1383">
        <v>4</v>
      </c>
      <c r="AA6" s="1383">
        <v>5</v>
      </c>
      <c r="AB6" s="1383">
        <v>6</v>
      </c>
      <c r="AC6" s="1383">
        <v>7</v>
      </c>
      <c r="AD6" s="1383">
        <v>8</v>
      </c>
      <c r="AE6" s="1383">
        <v>9</v>
      </c>
      <c r="AF6" s="1383">
        <v>10</v>
      </c>
      <c r="AG6" s="1383">
        <v>11</v>
      </c>
      <c r="AH6" s="1383">
        <v>12</v>
      </c>
      <c r="AI6" s="1383">
        <v>13</v>
      </c>
      <c r="AJ6" s="1383">
        <v>14</v>
      </c>
      <c r="AK6" s="1383">
        <v>15</v>
      </c>
      <c r="AL6" s="1383">
        <v>16</v>
      </c>
      <c r="AM6" s="1383">
        <v>17</v>
      </c>
      <c r="AN6" s="1383">
        <v>18</v>
      </c>
      <c r="AO6" s="1383">
        <v>19</v>
      </c>
      <c r="AP6" s="1383">
        <v>20</v>
      </c>
      <c r="AQ6" s="1383">
        <v>21</v>
      </c>
      <c r="AR6" s="1383">
        <v>22</v>
      </c>
      <c r="AS6" s="1383">
        <v>23</v>
      </c>
      <c r="AT6" s="1383">
        <v>24</v>
      </c>
      <c r="AU6" s="1383">
        <v>25</v>
      </c>
      <c r="AV6" s="1383">
        <v>26</v>
      </c>
      <c r="AW6" s="1383">
        <v>27</v>
      </c>
      <c r="AX6" s="1383">
        <v>28</v>
      </c>
      <c r="AY6" s="1383">
        <v>29</v>
      </c>
      <c r="AZ6" s="1383">
        <v>30</v>
      </c>
      <c r="BA6" s="1383">
        <v>31</v>
      </c>
      <c r="BB6" s="2497">
        <f>VLOOKUP("Plan",Data!$A:$Z,4,FALSE)</f>
        <v>3</v>
      </c>
      <c r="BC6" s="2498"/>
      <c r="BD6" s="2491"/>
      <c r="BE6" s="2492"/>
      <c r="BH6" s="115"/>
    </row>
    <row r="7" spans="1:74" s="116" customFormat="1" ht="12" customHeight="1" thickBot="1">
      <c r="A7" s="2496"/>
      <c r="B7" s="1384" t="s">
        <v>34</v>
      </c>
      <c r="C7" s="1385" t="s">
        <v>34</v>
      </c>
      <c r="D7" s="1385" t="s">
        <v>34</v>
      </c>
      <c r="E7" s="1385" t="s">
        <v>34</v>
      </c>
      <c r="F7" s="1385" t="s">
        <v>34</v>
      </c>
      <c r="G7" s="1385" t="s">
        <v>34</v>
      </c>
      <c r="H7" s="1385" t="s">
        <v>34</v>
      </c>
      <c r="I7" s="1385" t="s">
        <v>34</v>
      </c>
      <c r="J7" s="1385" t="s">
        <v>34</v>
      </c>
      <c r="K7" s="1385" t="s">
        <v>34</v>
      </c>
      <c r="L7" s="1385" t="s">
        <v>34</v>
      </c>
      <c r="M7" s="1385" t="s">
        <v>34</v>
      </c>
      <c r="N7" s="1386"/>
      <c r="O7" s="1385" t="s">
        <v>34</v>
      </c>
      <c r="P7" s="1385" t="str">
        <f>IF(VLOOKUP("Mon",Data!$A:$Z,4,FALSE)="On", "X", " ")</f>
        <v xml:space="preserve"> </v>
      </c>
      <c r="Q7" s="1385" t="str">
        <f>IF(VLOOKUP("Tue",Data!$A:$Z,4,FALSE)="On", "X", " ")</f>
        <v xml:space="preserve"> </v>
      </c>
      <c r="R7" s="1385" t="str">
        <f>IF(VLOOKUP("Wed",Data!$A:$Z,4,FALSE)="On", "X", " ")</f>
        <v xml:space="preserve"> </v>
      </c>
      <c r="S7" s="1385" t="str">
        <f>IF(VLOOKUP("Thu",Data!$A:$Z,4,FALSE)="On", "X", " ")</f>
        <v xml:space="preserve"> </v>
      </c>
      <c r="T7" s="1385" t="str">
        <f>IF(VLOOKUP("Fri",Data!$A:$Z,4,FALSE)="On", "X", " ")</f>
        <v xml:space="preserve"> </v>
      </c>
      <c r="U7" s="1385" t="str">
        <f>IF(VLOOKUP("Sat",Data!$A:$Z,4,FALSE)="On", "X", " ")</f>
        <v xml:space="preserve"> </v>
      </c>
      <c r="V7" s="1387"/>
      <c r="W7" s="1395" t="s">
        <v>3995</v>
      </c>
      <c r="X7" s="1395" t="s">
        <v>34</v>
      </c>
      <c r="Y7" s="1395" t="s">
        <v>34</v>
      </c>
      <c r="Z7" s="1395" t="s">
        <v>34</v>
      </c>
      <c r="AA7" s="1395" t="s">
        <v>34</v>
      </c>
      <c r="AB7" s="1395" t="s">
        <v>34</v>
      </c>
      <c r="AC7" s="1395" t="s">
        <v>34</v>
      </c>
      <c r="AD7" s="1395" t="s">
        <v>34</v>
      </c>
      <c r="AE7" s="1395" t="s">
        <v>34</v>
      </c>
      <c r="AF7" s="1395" t="s">
        <v>34</v>
      </c>
      <c r="AG7" s="1395" t="s">
        <v>34</v>
      </c>
      <c r="AH7" s="1395" t="s">
        <v>34</v>
      </c>
      <c r="AI7" s="1395" t="s">
        <v>34</v>
      </c>
      <c r="AJ7" s="1395" t="s">
        <v>34</v>
      </c>
      <c r="AK7" s="1395" t="s">
        <v>34</v>
      </c>
      <c r="AL7" s="1395" t="s">
        <v>34</v>
      </c>
      <c r="AM7" s="1395" t="s">
        <v>34</v>
      </c>
      <c r="AN7" s="1395" t="s">
        <v>34</v>
      </c>
      <c r="AO7" s="1395" t="s">
        <v>34</v>
      </c>
      <c r="AP7" s="1395" t="s">
        <v>34</v>
      </c>
      <c r="AQ7" s="1395" t="s">
        <v>34</v>
      </c>
      <c r="AR7" s="1395" t="s">
        <v>34</v>
      </c>
      <c r="AS7" s="1395" t="s">
        <v>34</v>
      </c>
      <c r="AT7" s="1395" t="s">
        <v>34</v>
      </c>
      <c r="AU7" s="1395" t="s">
        <v>34</v>
      </c>
      <c r="AV7" s="1395" t="s">
        <v>34</v>
      </c>
      <c r="AW7" s="1395" t="s">
        <v>34</v>
      </c>
      <c r="AX7" s="1395" t="s">
        <v>34</v>
      </c>
      <c r="AY7" s="1395" t="s">
        <v>34</v>
      </c>
      <c r="AZ7" s="1395" t="s">
        <v>34</v>
      </c>
      <c r="BA7" s="1396" t="s">
        <v>34</v>
      </c>
      <c r="BB7" s="2499"/>
      <c r="BC7" s="2500"/>
      <c r="BD7" s="2491"/>
      <c r="BE7" s="2492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</row>
    <row r="8" spans="1:74" s="116" customFormat="1" ht="12" customHeight="1">
      <c r="A8" s="2493">
        <v>4</v>
      </c>
      <c r="B8" s="1381" t="s">
        <v>339</v>
      </c>
      <c r="C8" s="1346" t="s">
        <v>257</v>
      </c>
      <c r="D8" s="1346" t="s">
        <v>340</v>
      </c>
      <c r="E8" s="1346" t="s">
        <v>239</v>
      </c>
      <c r="F8" s="1346" t="s">
        <v>340</v>
      </c>
      <c r="G8" s="1346" t="s">
        <v>339</v>
      </c>
      <c r="H8" s="1346" t="s">
        <v>339</v>
      </c>
      <c r="I8" s="1346" t="s">
        <v>239</v>
      </c>
      <c r="J8" s="1346" t="s">
        <v>341</v>
      </c>
      <c r="K8" s="1346" t="s">
        <v>55</v>
      </c>
      <c r="L8" s="1346" t="s">
        <v>342</v>
      </c>
      <c r="M8" s="1346" t="s">
        <v>251</v>
      </c>
      <c r="N8" s="1346"/>
      <c r="O8" s="1346" t="s">
        <v>341</v>
      </c>
      <c r="P8" s="1346" t="s">
        <v>340</v>
      </c>
      <c r="Q8" s="1346" t="s">
        <v>343</v>
      </c>
      <c r="R8" s="1346" t="s">
        <v>344</v>
      </c>
      <c r="S8" s="1346" t="s">
        <v>343</v>
      </c>
      <c r="T8" s="1346" t="s">
        <v>257</v>
      </c>
      <c r="U8" s="1346" t="s">
        <v>341</v>
      </c>
      <c r="V8" s="1346"/>
      <c r="W8" s="1363">
        <v>1</v>
      </c>
      <c r="X8" s="1363">
        <v>2</v>
      </c>
      <c r="Y8" s="1363">
        <v>3</v>
      </c>
      <c r="Z8" s="1363">
        <v>4</v>
      </c>
      <c r="AA8" s="1363">
        <v>5</v>
      </c>
      <c r="AB8" s="1363">
        <v>6</v>
      </c>
      <c r="AC8" s="1363">
        <v>7</v>
      </c>
      <c r="AD8" s="1363">
        <v>8</v>
      </c>
      <c r="AE8" s="1363">
        <v>9</v>
      </c>
      <c r="AF8" s="1363">
        <v>10</v>
      </c>
      <c r="AG8" s="1363">
        <v>11</v>
      </c>
      <c r="AH8" s="1363">
        <v>12</v>
      </c>
      <c r="AI8" s="1363">
        <v>13</v>
      </c>
      <c r="AJ8" s="1363">
        <v>14</v>
      </c>
      <c r="AK8" s="1363">
        <v>15</v>
      </c>
      <c r="AL8" s="1363">
        <v>16</v>
      </c>
      <c r="AM8" s="1363">
        <v>17</v>
      </c>
      <c r="AN8" s="1363">
        <v>18</v>
      </c>
      <c r="AO8" s="1363">
        <v>19</v>
      </c>
      <c r="AP8" s="1363">
        <v>20</v>
      </c>
      <c r="AQ8" s="1363">
        <v>21</v>
      </c>
      <c r="AR8" s="1363">
        <v>22</v>
      </c>
      <c r="AS8" s="1363">
        <v>23</v>
      </c>
      <c r="AT8" s="1363">
        <v>24</v>
      </c>
      <c r="AU8" s="1363">
        <v>25</v>
      </c>
      <c r="AV8" s="1363">
        <v>26</v>
      </c>
      <c r="AW8" s="1363">
        <v>27</v>
      </c>
      <c r="AX8" s="1363">
        <v>28</v>
      </c>
      <c r="AY8" s="1363">
        <v>29</v>
      </c>
      <c r="AZ8" s="1363">
        <v>30</v>
      </c>
      <c r="BA8" s="1363">
        <v>31</v>
      </c>
      <c r="BB8" s="2501">
        <f>VLOOKUP("Plan",Data!$A:$Z,5,FALSE)</f>
        <v>2</v>
      </c>
      <c r="BC8" s="2502"/>
      <c r="BD8" s="2491"/>
      <c r="BE8" s="2492"/>
      <c r="BH8" s="115"/>
    </row>
    <row r="9" spans="1:74" s="116" customFormat="1" ht="12" customHeight="1" thickBot="1">
      <c r="A9" s="2480"/>
      <c r="B9" s="1397" t="s">
        <v>34</v>
      </c>
      <c r="C9" s="1345" t="str">
        <f>IF(VLOOKUP("Feb",Data!$A:$Z,5,FALSE)="On", "X", " ")</f>
        <v xml:space="preserve"> </v>
      </c>
      <c r="D9" s="1345" t="str">
        <f>IF(VLOOKUP("Mar",Data!$A:$Z,5,FALSE)="On", "X", " ")</f>
        <v xml:space="preserve"> </v>
      </c>
      <c r="E9" s="1345" t="str">
        <f>IF(VLOOKUP("Apr",Data!$A:$Z,5,FALSE)="On", "X", " ")</f>
        <v xml:space="preserve"> </v>
      </c>
      <c r="F9" s="1345" t="str">
        <f>IF(VLOOKUP("May",Data!$A:$Z,5,FALSE)="On", "X", " ")</f>
        <v xml:space="preserve"> </v>
      </c>
      <c r="G9" s="1345" t="str">
        <f>IF(VLOOKUP("Jun",Data!$A:$Z,5,FALSE)="On", "X", " ")</f>
        <v xml:space="preserve"> </v>
      </c>
      <c r="H9" s="1345" t="str">
        <f>IF(VLOOKUP("Jul",Data!$A:$Z,5,FALSE)="On", "X", " ")</f>
        <v xml:space="preserve"> </v>
      </c>
      <c r="I9" s="1345" t="str">
        <f>IF(VLOOKUP("Aug",Data!$A:$Z,5,FALSE)="On", "X", " ")</f>
        <v xml:space="preserve"> </v>
      </c>
      <c r="J9" s="1345" t="str">
        <f>IF(VLOOKUP("Sep",Data!$A:$Z,5,FALSE)="On", "X", " ")</f>
        <v xml:space="preserve"> </v>
      </c>
      <c r="K9" s="1345" t="str">
        <f>IF(VLOOKUP("Oct",Data!$A:$Z,5,FALSE)="On", "X", " ")</f>
        <v xml:space="preserve"> </v>
      </c>
      <c r="L9" s="1345" t="str">
        <f>IF(VLOOKUP("Nov",Data!$A:$Z,5,FALSE)="On", "X", " ")</f>
        <v xml:space="preserve"> </v>
      </c>
      <c r="M9" s="1345" t="str">
        <f>IF(VLOOKUP("Dec",Data!$A:$Z,5,FALSE)="On", "X", " ")</f>
        <v xml:space="preserve"> </v>
      </c>
      <c r="N9" s="1346"/>
      <c r="O9" s="1345" t="str">
        <f>IF(VLOOKUP("Sun",Data!$A:$Z,5,FALSE)="On", "X", " ")</f>
        <v xml:space="preserve"> </v>
      </c>
      <c r="P9" s="1345" t="str">
        <f>IF(VLOOKUP("Mon",Data!$A:$Z,5,FALSE)="On", "X", " ")</f>
        <v xml:space="preserve"> </v>
      </c>
      <c r="Q9" s="1345" t="s">
        <v>34</v>
      </c>
      <c r="R9" s="1345" t="str">
        <f>IF(VLOOKUP("Wed",Data!$A:$Z,5,FALSE)="On", "X", " ")</f>
        <v xml:space="preserve"> </v>
      </c>
      <c r="S9" s="1345" t="str">
        <f>IF(VLOOKUP("Thu",Data!$A:$Z,5,FALSE)="On", "X", " ")</f>
        <v xml:space="preserve"> </v>
      </c>
      <c r="T9" s="1345" t="str">
        <f>IF(VLOOKUP("Fri",Data!$A:$Z,5,FALSE)="On", "X", " ")</f>
        <v xml:space="preserve"> </v>
      </c>
      <c r="U9" s="1345" t="str">
        <f>IF(VLOOKUP("Sat",Data!$A:$Z,5,FALSE)="On", "X", " ")</f>
        <v xml:space="preserve"> </v>
      </c>
      <c r="V9" s="1364"/>
      <c r="W9" s="1391" t="s">
        <v>34</v>
      </c>
      <c r="X9" s="1391" t="str">
        <f>IF(VLOOKUP(2,Data!$A:$Z,5,FALSE)="On", "X", "-")</f>
        <v>-</v>
      </c>
      <c r="Y9" s="1391" t="str">
        <f>IF(VLOOKUP(3,Data!$A:$Z,5,FALSE)="On", "X", "-")</f>
        <v>-</v>
      </c>
      <c r="Z9" s="1391" t="str">
        <f>IF(VLOOKUP(4,Data!$A:$Z,5,FALSE)="On", "X", "-")</f>
        <v>-</v>
      </c>
      <c r="AA9" s="1391" t="str">
        <f>IF(VLOOKUP(5,Data!$A:$Z,5,FALSE)="On", "X", "-")</f>
        <v>-</v>
      </c>
      <c r="AB9" s="1391" t="str">
        <f>IF(VLOOKUP(6,Data!$A:$Z,5,FALSE)="On", "X", "-")</f>
        <v>-</v>
      </c>
      <c r="AC9" s="1391" t="str">
        <f>IF(VLOOKUP(7,Data!$A:$Z,5,FALSE)="On", "X", "-")</f>
        <v>-</v>
      </c>
      <c r="AD9" s="1391" t="str">
        <f>IF(VLOOKUP(8,Data!$A:$Z,5,FALSE)="On", "X", "-")</f>
        <v>-</v>
      </c>
      <c r="AE9" s="1391" t="str">
        <f>IF(VLOOKUP(9,Data!$A:$Z,5,FALSE)="On", "X", "-")</f>
        <v>-</v>
      </c>
      <c r="AF9" s="1391" t="str">
        <f>IF(VLOOKUP(10,Data!$A:$Z,5,FALSE)="On", "X", "-")</f>
        <v>-</v>
      </c>
      <c r="AG9" s="1391" t="str">
        <f>IF(VLOOKUP(11,Data!$A:$Z,5,FALSE)="On", "X", "-")</f>
        <v>-</v>
      </c>
      <c r="AH9" s="1391" t="str">
        <f>IF(VLOOKUP(12,Data!$A:$Z,5,FALSE)="On", "X", "-")</f>
        <v>-</v>
      </c>
      <c r="AI9" s="1391" t="str">
        <f>IF(VLOOKUP(13,Data!$A:$Z,5,FALSE)="On", "X", "-")</f>
        <v>-</v>
      </c>
      <c r="AJ9" s="1391" t="str">
        <f>IF(VLOOKUP(14,Data!$A:$Z,5,FALSE)="On", "X", "-")</f>
        <v>-</v>
      </c>
      <c r="AK9" s="1391" t="str">
        <f>IF(VLOOKUP(15,Data!$A:$Z,5,FALSE)="On", "X", "-")</f>
        <v>-</v>
      </c>
      <c r="AL9" s="1391" t="str">
        <f>IF(VLOOKUP(16,Data!$A:$Z,5,FALSE)="On", "X", "-")</f>
        <v>-</v>
      </c>
      <c r="AM9" s="1391" t="str">
        <f>IF(VLOOKUP(17,Data!$A:$Z,5,FALSE)="On", "X", "-")</f>
        <v>-</v>
      </c>
      <c r="AN9" s="1391" t="str">
        <f>IF(VLOOKUP(18,Data!$A:$Z,5,FALSE)="On", "X", "-")</f>
        <v>-</v>
      </c>
      <c r="AO9" s="1391" t="str">
        <f>IF(VLOOKUP(19,Data!$A:$Z,5,FALSE)="On", "X", "-")</f>
        <v>-</v>
      </c>
      <c r="AP9" s="1391" t="str">
        <f>IF(VLOOKUP(20,Data!$A:$Z,5,FALSE)="On", "X", "-")</f>
        <v>-</v>
      </c>
      <c r="AQ9" s="1391" t="str">
        <f>IF(VLOOKUP(21,Data!$A:$Z,5,FALSE)="On", "X", "-")</f>
        <v>-</v>
      </c>
      <c r="AR9" s="1391" t="str">
        <f>IF(VLOOKUP(22,Data!$A:$Z,5,FALSE)="On", "X", "-")</f>
        <v>-</v>
      </c>
      <c r="AS9" s="1391" t="str">
        <f>IF(VLOOKUP(23,Data!$A:$Z,5,FALSE)="On", "X", "-")</f>
        <v>-</v>
      </c>
      <c r="AT9" s="1391" t="str">
        <f>IF(VLOOKUP(24,Data!$A:$Z,5,FALSE)="On", "X", "-")</f>
        <v>-</v>
      </c>
      <c r="AU9" s="1391" t="str">
        <f>IF(VLOOKUP(25,Data!$A:$Z,5,FALSE)="On", "X", "-")</f>
        <v>-</v>
      </c>
      <c r="AV9" s="1391" t="str">
        <f>IF(VLOOKUP(26,Data!$A:$Z,5,FALSE)="On", "X", "-")</f>
        <v>-</v>
      </c>
      <c r="AW9" s="1391" t="str">
        <f>IF(VLOOKUP(27,Data!$A:$Z,5,FALSE)="On", "X", "-")</f>
        <v>-</v>
      </c>
      <c r="AX9" s="1391" t="str">
        <f>IF(VLOOKUP(28,Data!$A:$Z,5,FALSE)="On", "X", "-")</f>
        <v>-</v>
      </c>
      <c r="AY9" s="1391" t="str">
        <f>IF(VLOOKUP(29,Data!$A:$Z,5,FALSE)="On", "X", "-")</f>
        <v>-</v>
      </c>
      <c r="AZ9" s="1391" t="str">
        <f>IF(VLOOKUP(30,Data!$A:$Z,5,FALSE)="On", "X", "-")</f>
        <v>-</v>
      </c>
      <c r="BA9" s="1398" t="str">
        <f>IF(VLOOKUP(31,Data!$A:$Z,5,FALSE)="On", "X", "-")</f>
        <v>-</v>
      </c>
      <c r="BB9" s="2503"/>
      <c r="BC9" s="2504"/>
      <c r="BD9" s="2491"/>
      <c r="BE9" s="2492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</row>
    <row r="10" spans="1:74" s="116" customFormat="1" ht="12" customHeight="1">
      <c r="A10" s="2494">
        <v>5</v>
      </c>
      <c r="B10" s="1382" t="s">
        <v>339</v>
      </c>
      <c r="C10" s="1367" t="s">
        <v>257</v>
      </c>
      <c r="D10" s="1367" t="s">
        <v>340</v>
      </c>
      <c r="E10" s="1367" t="s">
        <v>239</v>
      </c>
      <c r="F10" s="1367" t="s">
        <v>340</v>
      </c>
      <c r="G10" s="1367" t="s">
        <v>339</v>
      </c>
      <c r="H10" s="1367" t="s">
        <v>339</v>
      </c>
      <c r="I10" s="1367" t="s">
        <v>239</v>
      </c>
      <c r="J10" s="1367" t="s">
        <v>341</v>
      </c>
      <c r="K10" s="1367" t="s">
        <v>55</v>
      </c>
      <c r="L10" s="1367" t="s">
        <v>342</v>
      </c>
      <c r="M10" s="1367" t="s">
        <v>251</v>
      </c>
      <c r="N10" s="1367"/>
      <c r="O10" s="1367" t="s">
        <v>341</v>
      </c>
      <c r="P10" s="1367" t="s">
        <v>340</v>
      </c>
      <c r="Q10" s="1367" t="s">
        <v>343</v>
      </c>
      <c r="R10" s="1367" t="s">
        <v>344</v>
      </c>
      <c r="S10" s="1367" t="s">
        <v>343</v>
      </c>
      <c r="T10" s="1367" t="s">
        <v>257</v>
      </c>
      <c r="U10" s="1367" t="s">
        <v>341</v>
      </c>
      <c r="V10" s="1367"/>
      <c r="W10" s="1383">
        <v>1</v>
      </c>
      <c r="X10" s="1383">
        <v>2</v>
      </c>
      <c r="Y10" s="1383">
        <v>3</v>
      </c>
      <c r="Z10" s="1383">
        <v>4</v>
      </c>
      <c r="AA10" s="1383">
        <v>5</v>
      </c>
      <c r="AB10" s="1383">
        <v>6</v>
      </c>
      <c r="AC10" s="1383">
        <v>7</v>
      </c>
      <c r="AD10" s="1383">
        <v>8</v>
      </c>
      <c r="AE10" s="1383">
        <v>9</v>
      </c>
      <c r="AF10" s="1383">
        <v>10</v>
      </c>
      <c r="AG10" s="1383">
        <v>11</v>
      </c>
      <c r="AH10" s="1383">
        <v>12</v>
      </c>
      <c r="AI10" s="1383">
        <v>13</v>
      </c>
      <c r="AJ10" s="1383">
        <v>14</v>
      </c>
      <c r="AK10" s="1383">
        <v>15</v>
      </c>
      <c r="AL10" s="1383">
        <v>16</v>
      </c>
      <c r="AM10" s="1383">
        <v>17</v>
      </c>
      <c r="AN10" s="1383">
        <v>18</v>
      </c>
      <c r="AO10" s="1383">
        <v>19</v>
      </c>
      <c r="AP10" s="1383">
        <v>20</v>
      </c>
      <c r="AQ10" s="1383">
        <v>21</v>
      </c>
      <c r="AR10" s="1383">
        <v>22</v>
      </c>
      <c r="AS10" s="1383">
        <v>23</v>
      </c>
      <c r="AT10" s="1383">
        <v>24</v>
      </c>
      <c r="AU10" s="1383">
        <v>25</v>
      </c>
      <c r="AV10" s="1383">
        <v>26</v>
      </c>
      <c r="AW10" s="1383">
        <v>27</v>
      </c>
      <c r="AX10" s="1383">
        <v>28</v>
      </c>
      <c r="AY10" s="1383">
        <v>29</v>
      </c>
      <c r="AZ10" s="1383">
        <v>30</v>
      </c>
      <c r="BA10" s="1383">
        <v>31</v>
      </c>
      <c r="BB10" s="2497">
        <f>VLOOKUP("Plan",Data!$A:$Z,6,FALSE)</f>
        <v>3</v>
      </c>
      <c r="BC10" s="2498"/>
      <c r="BD10" s="2491"/>
      <c r="BE10" s="2492"/>
      <c r="BH10" s="115"/>
    </row>
    <row r="11" spans="1:74" s="116" customFormat="1" ht="12" customHeight="1" thickBot="1">
      <c r="A11" s="2495"/>
      <c r="B11" s="1384" t="s">
        <v>34</v>
      </c>
      <c r="C11" s="1385" t="str">
        <f>IF(VLOOKUP("Feb",Data!$A:$Z,6,FALSE)="On", "X", " ")</f>
        <v xml:space="preserve"> </v>
      </c>
      <c r="D11" s="1385" t="str">
        <f>IF(VLOOKUP("Mar",Data!$A:$Z,6,FALSE)="On", "X", " ")</f>
        <v xml:space="preserve"> </v>
      </c>
      <c r="E11" s="1385" t="str">
        <f>IF(VLOOKUP("Apr",Data!$A:$Z,6,FALSE)="On", "X", " ")</f>
        <v xml:space="preserve"> </v>
      </c>
      <c r="F11" s="1385" t="str">
        <f>IF(VLOOKUP("May",Data!$A:$Z,6,FALSE)="On", "X", " ")</f>
        <v xml:space="preserve"> </v>
      </c>
      <c r="G11" s="1385" t="str">
        <f>IF(VLOOKUP("Jun",Data!$A:$Z,6,FALSE)="On", "X", " ")</f>
        <v xml:space="preserve"> </v>
      </c>
      <c r="H11" s="1385" t="str">
        <f>IF(VLOOKUP("Jul",Data!$A:$Z,6,FALSE)="On", "X", " ")</f>
        <v xml:space="preserve"> </v>
      </c>
      <c r="I11" s="1385" t="str">
        <f>IF(VLOOKUP("Aug",Data!$A:$Z,6,FALSE)="On", "X", " ")</f>
        <v xml:space="preserve"> </v>
      </c>
      <c r="J11" s="1385" t="str">
        <f>IF(VLOOKUP("Sep",Data!$A:$Z,6,FALSE)="On", "X", " ")</f>
        <v xml:space="preserve"> </v>
      </c>
      <c r="K11" s="1385" t="str">
        <f>IF(VLOOKUP("Oct",Data!$A:$Z,6,FALSE)="On", "X", " ")</f>
        <v xml:space="preserve"> </v>
      </c>
      <c r="L11" s="1385" t="str">
        <f>IF(VLOOKUP("Nov",Data!$A:$Z,6,FALSE)="On", "X", " ")</f>
        <v xml:space="preserve"> </v>
      </c>
      <c r="M11" s="1385" t="str">
        <f>IF(VLOOKUP("Dec",Data!$A:$Z,6,FALSE)="On", "X", " ")</f>
        <v xml:space="preserve"> </v>
      </c>
      <c r="N11" s="1386"/>
      <c r="O11" s="1385" t="str">
        <f>IF(VLOOKUP("Sun",Data!$A:$Z,6,FALSE)="On", "X", " ")</f>
        <v xml:space="preserve"> </v>
      </c>
      <c r="P11" s="1385" t="s">
        <v>34</v>
      </c>
      <c r="Q11" s="1385" t="str">
        <f>IF(VLOOKUP("Tue",Data!$A:$Z,6,FALSE)="On", "X", " ")</f>
        <v xml:space="preserve"> </v>
      </c>
      <c r="R11" s="1385" t="str">
        <f>IF(VLOOKUP("Wed",Data!$A:$Z,6,FALSE)="On", "X", " ")</f>
        <v xml:space="preserve"> </v>
      </c>
      <c r="S11" s="1385" t="str">
        <f>IF(VLOOKUP("Thu",Data!$A:$Z,6,FALSE)="On", "X", " ")</f>
        <v xml:space="preserve"> </v>
      </c>
      <c r="T11" s="1385" t="str">
        <f>IF(VLOOKUP("Fri",Data!$A:$Z,6,FALSE)="On", "X", " ")</f>
        <v xml:space="preserve"> </v>
      </c>
      <c r="U11" s="1385" t="str">
        <f>IF(VLOOKUP("Sat",Data!$A:$Z,6,FALSE)="On", "X", " ")</f>
        <v xml:space="preserve"> </v>
      </c>
      <c r="V11" s="1387"/>
      <c r="W11" s="1395" t="str">
        <f>IF(VLOOKUP(1,Data!$A:$Z,6,FALSE)="On", "X", "-")</f>
        <v>-</v>
      </c>
      <c r="X11" s="1395" t="str">
        <f>IF(VLOOKUP(2,Data!$A:$Z,6,FALSE)="On", "X", "-")</f>
        <v>-</v>
      </c>
      <c r="Y11" s="1395" t="str">
        <f>IF(VLOOKUP(3,Data!$A:$Z,6,FALSE)="On", "X", "-")</f>
        <v>-</v>
      </c>
      <c r="Z11" s="1395" t="str">
        <f>IF(VLOOKUP(4,Data!$A:$Z,6,FALSE)="On", "X", "-")</f>
        <v>-</v>
      </c>
      <c r="AA11" s="1395" t="str">
        <f>IF(VLOOKUP(5,Data!$A:$Z,6,FALSE)="On", "X", "-")</f>
        <v>-</v>
      </c>
      <c r="AB11" s="1395" t="str">
        <f>IF(VLOOKUP(6,Data!$A:$Z,6,FALSE)="On", "X", "-")</f>
        <v>-</v>
      </c>
      <c r="AC11" s="1395" t="str">
        <f>IF(VLOOKUP(7,Data!$A:$Z,6,FALSE)="On", "X", "-")</f>
        <v>-</v>
      </c>
      <c r="AD11" s="1395" t="str">
        <f>IF(VLOOKUP(8,Data!$A:$Z,6,FALSE)="On", "X", "-")</f>
        <v>-</v>
      </c>
      <c r="AE11" s="1395" t="str">
        <f>IF(VLOOKUP(9,Data!$A:$Z,6,FALSE)="On", "X", "-")</f>
        <v>-</v>
      </c>
      <c r="AF11" s="1395" t="str">
        <f>IF(VLOOKUP(10,Data!$A:$Z,6,FALSE)="On", "X", "-")</f>
        <v>-</v>
      </c>
      <c r="AG11" s="1395" t="str">
        <f>IF(VLOOKUP(11,Data!$A:$Z,6,FALSE)="On", "X", "-")</f>
        <v>-</v>
      </c>
      <c r="AH11" s="1395" t="str">
        <f>IF(VLOOKUP(12,Data!$A:$Z,6,FALSE)="On", "X", "-")</f>
        <v>-</v>
      </c>
      <c r="AI11" s="1395" t="str">
        <f>IF(VLOOKUP(13,Data!$A:$Z,6,FALSE)="On", "X", "-")</f>
        <v>-</v>
      </c>
      <c r="AJ11" s="1395" t="str">
        <f>IF(VLOOKUP(14,Data!$A:$Z,6,FALSE)="On", "X", "-")</f>
        <v>-</v>
      </c>
      <c r="AK11" s="1395" t="s">
        <v>3996</v>
      </c>
      <c r="AL11" s="1395" t="s">
        <v>34</v>
      </c>
      <c r="AM11" s="1395" t="s">
        <v>34</v>
      </c>
      <c r="AN11" s="1395" t="s">
        <v>34</v>
      </c>
      <c r="AO11" s="1395" t="s">
        <v>34</v>
      </c>
      <c r="AP11" s="1395" t="s">
        <v>34</v>
      </c>
      <c r="AQ11" s="1395" t="s">
        <v>34</v>
      </c>
      <c r="AR11" s="1395" t="str">
        <f>IF(VLOOKUP(22,Data!$A:$Z,6,FALSE)="On", "X", "-")</f>
        <v>-</v>
      </c>
      <c r="AS11" s="1395" t="str">
        <f>IF(VLOOKUP(23,Data!$A:$Z,6,FALSE)="On", "X", "-")</f>
        <v>-</v>
      </c>
      <c r="AT11" s="1395" t="str">
        <f>IF(VLOOKUP(24,Data!$A:$Z,6,FALSE)="On", "X", "-")</f>
        <v>-</v>
      </c>
      <c r="AU11" s="1395" t="str">
        <f>IF(VLOOKUP(25,Data!$A:$Z,6,FALSE)="On", "X", "-")</f>
        <v>-</v>
      </c>
      <c r="AV11" s="1395" t="str">
        <f>IF(VLOOKUP(26,Data!$A:$Z,6,FALSE)="On", "X", "-")</f>
        <v>-</v>
      </c>
      <c r="AW11" s="1395" t="str">
        <f>IF(VLOOKUP(27,Data!$A:$Z,6,FALSE)="On", "X", "-")</f>
        <v>-</v>
      </c>
      <c r="AX11" s="1395" t="str">
        <f>IF(VLOOKUP(28,Data!$A:$Z,6,FALSE)="On", "X", "-")</f>
        <v>-</v>
      </c>
      <c r="AY11" s="1395" t="str">
        <f>IF(VLOOKUP(29,Data!$A:$Z,6,FALSE)="On", "X", "-")</f>
        <v>-</v>
      </c>
      <c r="AZ11" s="1395" t="str">
        <f>IF(VLOOKUP(30,Data!$A:$Z,6,FALSE)="On", "X", "-")</f>
        <v>-</v>
      </c>
      <c r="BA11" s="1396" t="str">
        <f>IF(VLOOKUP(31,Data!$A:$Z,6,FALSE)="On", "X", "-")</f>
        <v>-</v>
      </c>
      <c r="BB11" s="2499"/>
      <c r="BC11" s="2500"/>
      <c r="BD11" s="2491"/>
      <c r="BE11" s="2492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</row>
    <row r="12" spans="1:74" s="116" customFormat="1" ht="12" customHeight="1">
      <c r="A12" s="2493">
        <v>6</v>
      </c>
      <c r="B12" s="1381" t="s">
        <v>339</v>
      </c>
      <c r="C12" s="1346" t="s">
        <v>257</v>
      </c>
      <c r="D12" s="1346" t="s">
        <v>340</v>
      </c>
      <c r="E12" s="1346" t="s">
        <v>239</v>
      </c>
      <c r="F12" s="1346" t="s">
        <v>340</v>
      </c>
      <c r="G12" s="1346" t="s">
        <v>339</v>
      </c>
      <c r="H12" s="1346" t="s">
        <v>339</v>
      </c>
      <c r="I12" s="1346" t="s">
        <v>239</v>
      </c>
      <c r="J12" s="1346" t="s">
        <v>341</v>
      </c>
      <c r="K12" s="1346" t="s">
        <v>55</v>
      </c>
      <c r="L12" s="1346" t="s">
        <v>342</v>
      </c>
      <c r="M12" s="1346" t="s">
        <v>251</v>
      </c>
      <c r="N12" s="1346"/>
      <c r="O12" s="1346" t="s">
        <v>341</v>
      </c>
      <c r="P12" s="1346" t="s">
        <v>340</v>
      </c>
      <c r="Q12" s="1346" t="s">
        <v>343</v>
      </c>
      <c r="R12" s="1346" t="s">
        <v>344</v>
      </c>
      <c r="S12" s="1346" t="s">
        <v>343</v>
      </c>
      <c r="T12" s="1346" t="s">
        <v>257</v>
      </c>
      <c r="U12" s="1346" t="s">
        <v>341</v>
      </c>
      <c r="V12" s="1346"/>
      <c r="W12" s="1363">
        <v>1</v>
      </c>
      <c r="X12" s="1363">
        <v>2</v>
      </c>
      <c r="Y12" s="1363">
        <v>3</v>
      </c>
      <c r="Z12" s="1363">
        <v>4</v>
      </c>
      <c r="AA12" s="1363">
        <v>5</v>
      </c>
      <c r="AB12" s="1363">
        <v>6</v>
      </c>
      <c r="AC12" s="1363">
        <v>7</v>
      </c>
      <c r="AD12" s="1363">
        <v>8</v>
      </c>
      <c r="AE12" s="1363">
        <v>9</v>
      </c>
      <c r="AF12" s="1363">
        <v>10</v>
      </c>
      <c r="AG12" s="1363">
        <v>11</v>
      </c>
      <c r="AH12" s="1363">
        <v>12</v>
      </c>
      <c r="AI12" s="1363">
        <v>13</v>
      </c>
      <c r="AJ12" s="1363">
        <v>14</v>
      </c>
      <c r="AK12" s="1363">
        <v>15</v>
      </c>
      <c r="AL12" s="1363">
        <v>16</v>
      </c>
      <c r="AM12" s="1363">
        <v>17</v>
      </c>
      <c r="AN12" s="1363">
        <v>18</v>
      </c>
      <c r="AO12" s="1363">
        <v>19</v>
      </c>
      <c r="AP12" s="1363">
        <v>20</v>
      </c>
      <c r="AQ12" s="1363">
        <v>21</v>
      </c>
      <c r="AR12" s="1363">
        <v>22</v>
      </c>
      <c r="AS12" s="1363">
        <v>23</v>
      </c>
      <c r="AT12" s="1363">
        <v>24</v>
      </c>
      <c r="AU12" s="1363">
        <v>25</v>
      </c>
      <c r="AV12" s="1363">
        <v>26</v>
      </c>
      <c r="AW12" s="1363">
        <v>27</v>
      </c>
      <c r="AX12" s="1363">
        <v>28</v>
      </c>
      <c r="AY12" s="1363">
        <v>29</v>
      </c>
      <c r="AZ12" s="1363">
        <v>30</v>
      </c>
      <c r="BA12" s="1363">
        <v>31</v>
      </c>
      <c r="BB12" s="2501">
        <f>VLOOKUP("Plan",Data!$A:$Z,7,FALSE)</f>
        <v>3</v>
      </c>
      <c r="BC12" s="2502"/>
      <c r="BD12" s="2491"/>
      <c r="BE12" s="2492"/>
      <c r="BH12" s="115"/>
    </row>
    <row r="13" spans="1:74" s="116" customFormat="1" ht="12" customHeight="1" thickBot="1">
      <c r="A13" s="2480"/>
      <c r="B13" s="1397" t="str">
        <f>IF(VLOOKUP("Jan",Data!$A:$Z,7,FALSE)="On", "X", " ")</f>
        <v xml:space="preserve"> </v>
      </c>
      <c r="C13" s="1345" t="s">
        <v>34</v>
      </c>
      <c r="D13" s="1345" t="str">
        <f>IF(VLOOKUP("Mar",Data!$A:$Z,7,FALSE)="On", "X", " ")</f>
        <v xml:space="preserve"> </v>
      </c>
      <c r="E13" s="1345" t="str">
        <f>IF(VLOOKUP("Apr",Data!$A:$Z,7,FALSE)="On", "X", " ")</f>
        <v xml:space="preserve"> </v>
      </c>
      <c r="F13" s="1345" t="str">
        <f>IF(VLOOKUP("May",Data!$A:$Z,7,FALSE)="On", "X", " ")</f>
        <v xml:space="preserve"> </v>
      </c>
      <c r="G13" s="1345" t="str">
        <f>IF(VLOOKUP("Jun",Data!$A:$Z,7,FALSE)="On", "X", " ")</f>
        <v xml:space="preserve"> </v>
      </c>
      <c r="H13" s="1345" t="str">
        <f>IF(VLOOKUP("Jul",Data!$A:$Z,7,FALSE)="On", "X", " ")</f>
        <v xml:space="preserve"> </v>
      </c>
      <c r="I13" s="1345" t="str">
        <f>IF(VLOOKUP("Aug",Data!$A:$Z,7,FALSE)="On", "X", " ")</f>
        <v xml:space="preserve"> </v>
      </c>
      <c r="J13" s="1345" t="str">
        <f>IF(VLOOKUP("Sep",Data!$A:$Z,7,FALSE)="On", "X", " ")</f>
        <v xml:space="preserve"> </v>
      </c>
      <c r="K13" s="1345" t="str">
        <f>IF(VLOOKUP("Oct",Data!$A:$Z,7,FALSE)="On", "X", " ")</f>
        <v xml:space="preserve"> </v>
      </c>
      <c r="L13" s="1345" t="str">
        <f>IF(VLOOKUP("Nov",Data!$A:$Z,7,FALSE)="On", "X", " ")</f>
        <v xml:space="preserve"> </v>
      </c>
      <c r="M13" s="1345" t="str">
        <f>IF(VLOOKUP("Dec",Data!$A:$Z,7,FALSE)="On", "X", " ")</f>
        <v xml:space="preserve"> </v>
      </c>
      <c r="N13" s="1346"/>
      <c r="O13" s="1345" t="str">
        <f>IF(VLOOKUP("Sun",Data!$A:$Z,7,FALSE)="On", "X", " ")</f>
        <v xml:space="preserve"> </v>
      </c>
      <c r="P13" s="1345" t="s">
        <v>34</v>
      </c>
      <c r="Q13" s="1345" t="str">
        <f>IF(VLOOKUP("Tue",Data!$A:$Z,7,FALSE)="On", "X", " ")</f>
        <v xml:space="preserve"> </v>
      </c>
      <c r="R13" s="1345" t="str">
        <f>IF(VLOOKUP("Wed",Data!$A:$Z,7,FALSE)="On", "X", " ")</f>
        <v xml:space="preserve"> </v>
      </c>
      <c r="S13" s="1345" t="str">
        <f>IF(VLOOKUP("Thu",Data!$A:$Z,7,FALSE)="On", "X", " ")</f>
        <v xml:space="preserve"> </v>
      </c>
      <c r="T13" s="1345" t="str">
        <f>IF(VLOOKUP("Fri",Data!$A:$Z,7,FALSE)="On", "X", " ")</f>
        <v xml:space="preserve"> </v>
      </c>
      <c r="U13" s="1345" t="str">
        <f>IF(VLOOKUP("Sat",Data!$A:$Z,7,FALSE)="On", "X", " ")</f>
        <v xml:space="preserve"> </v>
      </c>
      <c r="V13" s="1364"/>
      <c r="W13" s="1391" t="str">
        <f>IF(VLOOKUP(1,Data!$A:$Z,7,FALSE)="On", "X", "-")</f>
        <v>-</v>
      </c>
      <c r="X13" s="1391" t="str">
        <f>IF(VLOOKUP(2,Data!$A:$Z,7,FALSE)="On", "X", "-")</f>
        <v>-</v>
      </c>
      <c r="Y13" s="1391" t="str">
        <f>IF(VLOOKUP(3,Data!$A:$Z,7,FALSE)="On", "X", "-")</f>
        <v>-</v>
      </c>
      <c r="Z13" s="1391" t="str">
        <f>IF(VLOOKUP(4,Data!$A:$Z,7,FALSE)="On", "X", "-")</f>
        <v>-</v>
      </c>
      <c r="AA13" s="1391" t="str">
        <f>IF(VLOOKUP(5,Data!$A:$Z,7,FALSE)="On", "X", "-")</f>
        <v>-</v>
      </c>
      <c r="AB13" s="1391" t="str">
        <f>IF(VLOOKUP(6,Data!$A:$Z,7,FALSE)="On", "X", "-")</f>
        <v>-</v>
      </c>
      <c r="AC13" s="1391" t="str">
        <f>IF(VLOOKUP(7,Data!$A:$Z,7,FALSE)="On", "X", "-")</f>
        <v>-</v>
      </c>
      <c r="AD13" s="1391" t="str">
        <f>IF(VLOOKUP(8,Data!$A:$Z,7,FALSE)="On", "X", "-")</f>
        <v>-</v>
      </c>
      <c r="AE13" s="1391" t="str">
        <f>IF(VLOOKUP(9,Data!$A:$Z,7,FALSE)="On", "X", "-")</f>
        <v>-</v>
      </c>
      <c r="AF13" s="1391" t="str">
        <f>IF(VLOOKUP(10,Data!$A:$Z,7,FALSE)="On", "X", "-")</f>
        <v>-</v>
      </c>
      <c r="AG13" s="1391" t="str">
        <f>IF(VLOOKUP(11,Data!$A:$Z,7,FALSE)="On", "X", "-")</f>
        <v>-</v>
      </c>
      <c r="AH13" s="1391" t="str">
        <f>IF(VLOOKUP(12,Data!$A:$Z,7,FALSE)="On", "X", "-")</f>
        <v>-</v>
      </c>
      <c r="AI13" s="1391" t="str">
        <f>IF(VLOOKUP(13,Data!$A:$Z,7,FALSE)="On", "X", "-")</f>
        <v>-</v>
      </c>
      <c r="AJ13" s="1391" t="str">
        <f>IF(VLOOKUP(14,Data!$A:$Z,7,FALSE)="On", "X", "-")</f>
        <v>-</v>
      </c>
      <c r="AK13" s="1391" t="s">
        <v>34</v>
      </c>
      <c r="AL13" s="1391" t="s">
        <v>34</v>
      </c>
      <c r="AM13" s="1391" t="s">
        <v>34</v>
      </c>
      <c r="AN13" s="1391" t="s">
        <v>34</v>
      </c>
      <c r="AO13" s="1391" t="s">
        <v>34</v>
      </c>
      <c r="AP13" s="1391" t="s">
        <v>34</v>
      </c>
      <c r="AQ13" s="1391" t="s">
        <v>34</v>
      </c>
      <c r="AR13" s="1391" t="str">
        <f>IF(VLOOKUP(22,Data!$A:$Z,7,FALSE)="On", "X", "-")</f>
        <v>-</v>
      </c>
      <c r="AS13" s="1391" t="str">
        <f>IF(VLOOKUP(23,Data!$A:$Z,7,FALSE)="On", "X", "-")</f>
        <v>-</v>
      </c>
      <c r="AT13" s="1391" t="str">
        <f>IF(VLOOKUP(24,Data!$A:$Z,7,FALSE)="On", "X", "-")</f>
        <v>-</v>
      </c>
      <c r="AU13" s="1391" t="str">
        <f>IF(VLOOKUP(25,Data!$A:$Z,7,FALSE)="On", "X", "-")</f>
        <v>-</v>
      </c>
      <c r="AV13" s="1391" t="str">
        <f>IF(VLOOKUP(26,Data!$A:$Z,7,FALSE)="On", "X", "-")</f>
        <v>-</v>
      </c>
      <c r="AW13" s="1391" t="str">
        <f>IF(VLOOKUP(27,Data!$A:$Z,7,FALSE)="On", "X", "-")</f>
        <v>-</v>
      </c>
      <c r="AX13" s="1391" t="str">
        <f>IF(VLOOKUP(28,Data!$A:$Z,7,FALSE)="On", "X", "-")</f>
        <v>-</v>
      </c>
      <c r="AY13" s="1391" t="str">
        <f>IF(VLOOKUP(29,Data!$A:$Z,7,FALSE)="On", "X", "-")</f>
        <v>-</v>
      </c>
      <c r="AZ13" s="1391" t="str">
        <f>IF(VLOOKUP(30,Data!$A:$Z,7,FALSE)="On", "X", "-")</f>
        <v>-</v>
      </c>
      <c r="BA13" s="1398" t="str">
        <f>IF(VLOOKUP(31,Data!$A:$Z,7,FALSE)="On", "X", "-")</f>
        <v>-</v>
      </c>
      <c r="BB13" s="2503"/>
      <c r="BC13" s="2504"/>
      <c r="BD13" s="2491"/>
      <c r="BE13" s="2492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</row>
    <row r="14" spans="1:74" s="116" customFormat="1" ht="12" customHeight="1">
      <c r="A14" s="2477">
        <v>7</v>
      </c>
      <c r="B14" s="1382" t="s">
        <v>339</v>
      </c>
      <c r="C14" s="1367" t="s">
        <v>257</v>
      </c>
      <c r="D14" s="1367" t="s">
        <v>340</v>
      </c>
      <c r="E14" s="1367" t="s">
        <v>239</v>
      </c>
      <c r="F14" s="1367" t="s">
        <v>340</v>
      </c>
      <c r="G14" s="1367" t="s">
        <v>339</v>
      </c>
      <c r="H14" s="1367" t="s">
        <v>339</v>
      </c>
      <c r="I14" s="1367" t="s">
        <v>239</v>
      </c>
      <c r="J14" s="1367" t="s">
        <v>341</v>
      </c>
      <c r="K14" s="1367" t="s">
        <v>55</v>
      </c>
      <c r="L14" s="1367" t="s">
        <v>342</v>
      </c>
      <c r="M14" s="1367" t="s">
        <v>251</v>
      </c>
      <c r="N14" s="1367"/>
      <c r="O14" s="1367" t="s">
        <v>341</v>
      </c>
      <c r="P14" s="1367" t="s">
        <v>340</v>
      </c>
      <c r="Q14" s="1367" t="s">
        <v>343</v>
      </c>
      <c r="R14" s="1367" t="s">
        <v>344</v>
      </c>
      <c r="S14" s="1367" t="s">
        <v>343</v>
      </c>
      <c r="T14" s="1367" t="s">
        <v>257</v>
      </c>
      <c r="U14" s="1367" t="s">
        <v>341</v>
      </c>
      <c r="V14" s="1367"/>
      <c r="W14" s="1383">
        <v>1</v>
      </c>
      <c r="X14" s="1383">
        <v>2</v>
      </c>
      <c r="Y14" s="1383">
        <v>3</v>
      </c>
      <c r="Z14" s="1383">
        <v>4</v>
      </c>
      <c r="AA14" s="1383">
        <v>5</v>
      </c>
      <c r="AB14" s="1383">
        <v>6</v>
      </c>
      <c r="AC14" s="1383">
        <v>7</v>
      </c>
      <c r="AD14" s="1383">
        <v>8</v>
      </c>
      <c r="AE14" s="1383">
        <v>9</v>
      </c>
      <c r="AF14" s="1383">
        <v>10</v>
      </c>
      <c r="AG14" s="1383">
        <v>11</v>
      </c>
      <c r="AH14" s="1383">
        <v>12</v>
      </c>
      <c r="AI14" s="1383">
        <v>13</v>
      </c>
      <c r="AJ14" s="1383">
        <v>14</v>
      </c>
      <c r="AK14" s="1383">
        <v>15</v>
      </c>
      <c r="AL14" s="1383">
        <v>16</v>
      </c>
      <c r="AM14" s="1383">
        <v>17</v>
      </c>
      <c r="AN14" s="1383">
        <v>18</v>
      </c>
      <c r="AO14" s="1383">
        <v>19</v>
      </c>
      <c r="AP14" s="1383">
        <v>20</v>
      </c>
      <c r="AQ14" s="1383">
        <v>21</v>
      </c>
      <c r="AR14" s="1383">
        <v>22</v>
      </c>
      <c r="AS14" s="1383">
        <v>23</v>
      </c>
      <c r="AT14" s="1383">
        <v>24</v>
      </c>
      <c r="AU14" s="1383">
        <v>25</v>
      </c>
      <c r="AV14" s="1383">
        <v>26</v>
      </c>
      <c r="AW14" s="1383">
        <v>27</v>
      </c>
      <c r="AX14" s="1383">
        <v>28</v>
      </c>
      <c r="AY14" s="1383">
        <v>29</v>
      </c>
      <c r="AZ14" s="1383">
        <v>30</v>
      </c>
      <c r="BA14" s="1383">
        <v>31</v>
      </c>
      <c r="BB14" s="2497">
        <f>VLOOKUP("Plan",Data!$A:$Z,8,FALSE)</f>
        <v>3</v>
      </c>
      <c r="BC14" s="2498"/>
      <c r="BD14" s="2491"/>
      <c r="BE14" s="2492"/>
      <c r="BH14" s="115"/>
    </row>
    <row r="15" spans="1:74" s="116" customFormat="1" ht="12" customHeight="1" thickBot="1">
      <c r="A15" s="2496"/>
      <c r="B15" s="1384" t="str">
        <f>IF(VLOOKUP("Jan",Data!$A:$Z,8,FALSE)="On", "X", " ")</f>
        <v xml:space="preserve"> </v>
      </c>
      <c r="C15" s="1385" t="str">
        <f>IF(VLOOKUP("Feb",Data!$A:$Z,8,FALSE)="On", "X", " ")</f>
        <v xml:space="preserve"> </v>
      </c>
      <c r="D15" s="1385" t="str">
        <f>IF(VLOOKUP("Mar",Data!$A:$Z,8,FALSE)="On", "X", " ")</f>
        <v xml:space="preserve"> </v>
      </c>
      <c r="E15" s="1385" t="str">
        <f>IF(VLOOKUP("Apr",Data!$A:$Z,8,FALSE)="On", "X", " ")</f>
        <v xml:space="preserve"> </v>
      </c>
      <c r="F15" s="1385" t="s">
        <v>34</v>
      </c>
      <c r="G15" s="1385" t="str">
        <f>IF(VLOOKUP("Jun",Data!$A:$Z,8,FALSE)="On", "X", " ")</f>
        <v xml:space="preserve"> </v>
      </c>
      <c r="H15" s="1385" t="str">
        <f>IF(VLOOKUP("Jul",Data!$A:$Z,8,FALSE)="On", "X", " ")</f>
        <v xml:space="preserve"> </v>
      </c>
      <c r="I15" s="1385" t="str">
        <f>IF(VLOOKUP("Aug",Data!$A:$Z,8,FALSE)="On", "X", " ")</f>
        <v xml:space="preserve"> </v>
      </c>
      <c r="J15" s="1385" t="str">
        <f>IF(VLOOKUP("Sep",Data!$A:$Z,8,FALSE)="On", "X", " ")</f>
        <v xml:space="preserve"> </v>
      </c>
      <c r="K15" s="1385" t="str">
        <f>IF(VLOOKUP("Oct",Data!$A:$Z,8,FALSE)="On", "X", " ")</f>
        <v xml:space="preserve"> </v>
      </c>
      <c r="L15" s="1385" t="str">
        <f>IF(VLOOKUP("Nov",Data!$A:$Z,8,FALSE)="On", "X", " ")</f>
        <v xml:space="preserve"> </v>
      </c>
      <c r="M15" s="1385" t="str">
        <f>IF(VLOOKUP("Dec",Data!$A:$Z,8,FALSE)="On", "X", " ")</f>
        <v xml:space="preserve"> </v>
      </c>
      <c r="N15" s="1386"/>
      <c r="O15" s="1385" t="str">
        <f>IF(VLOOKUP("Sun",Data!$A:$Z,8,FALSE)="On", "X", " ")</f>
        <v xml:space="preserve"> </v>
      </c>
      <c r="P15" s="1385" t="s">
        <v>34</v>
      </c>
      <c r="Q15" s="1385" t="str">
        <f>IF(VLOOKUP("Tue",Data!$A:$Z,8,FALSE)="On", "X", " ")</f>
        <v xml:space="preserve"> </v>
      </c>
      <c r="R15" s="1385" t="str">
        <f>IF(VLOOKUP("Wed",Data!$A:$Z,8,FALSE)="On", "X", " ")</f>
        <v xml:space="preserve"> </v>
      </c>
      <c r="S15" s="1385" t="str">
        <f>IF(VLOOKUP("Thu",Data!$A:$Z,8,FALSE)="On", "X", " ")</f>
        <v xml:space="preserve"> </v>
      </c>
      <c r="T15" s="1385" t="str">
        <f>IF(VLOOKUP("Fri",Data!$A:$Z,8,FALSE)="On", "X", " ")</f>
        <v xml:space="preserve"> </v>
      </c>
      <c r="U15" s="1385" t="str">
        <f>IF(VLOOKUP("Sat",Data!$A:$Z,8,FALSE)="On", "X", " ")</f>
        <v xml:space="preserve"> </v>
      </c>
      <c r="V15" s="1387"/>
      <c r="W15" s="1395" t="str">
        <f>IF(VLOOKUP(1,Data!$A:$Z,8,FALSE)="On", "X", "-")</f>
        <v>-</v>
      </c>
      <c r="X15" s="1395" t="str">
        <f>IF(VLOOKUP(2,Data!$A:$Z,8,FALSE)="On", "X", "-")</f>
        <v>-</v>
      </c>
      <c r="Y15" s="1395" t="str">
        <f>IF(VLOOKUP(3,Data!$A:$Z,8,FALSE)="On", "X", "-")</f>
        <v>-</v>
      </c>
      <c r="Z15" s="1395" t="str">
        <f>IF(VLOOKUP(4,Data!$A:$Z,8,FALSE)="On", "X", "-")</f>
        <v>-</v>
      </c>
      <c r="AA15" s="1395" t="str">
        <f>IF(VLOOKUP(5,Data!$A:$Z,8,FALSE)="On", "X", "-")</f>
        <v>-</v>
      </c>
      <c r="AB15" s="1395" t="str">
        <f>IF(VLOOKUP(6,Data!$A:$Z,8,FALSE)="On", "X", "-")</f>
        <v>-</v>
      </c>
      <c r="AC15" s="1395" t="str">
        <f>IF(VLOOKUP(7,Data!$A:$Z,8,FALSE)="On", "X", "-")</f>
        <v>-</v>
      </c>
      <c r="AD15" s="1395" t="str">
        <f>IF(VLOOKUP(8,Data!$A:$Z,8,FALSE)="On", "X", "-")</f>
        <v>-</v>
      </c>
      <c r="AE15" s="1395" t="str">
        <f>IF(VLOOKUP(9,Data!$A:$Z,8,FALSE)="On", "X", "-")</f>
        <v>-</v>
      </c>
      <c r="AF15" s="1395" t="str">
        <f>IF(VLOOKUP(10,Data!$A:$Z,8,FALSE)="On", "X", "-")</f>
        <v>-</v>
      </c>
      <c r="AG15" s="1395" t="str">
        <f>IF(VLOOKUP(11,Data!$A:$Z,8,FALSE)="On", "X", "-")</f>
        <v>-</v>
      </c>
      <c r="AH15" s="1395" t="str">
        <f>IF(VLOOKUP(12,Data!$A:$Z,8,FALSE)="On", "X", "-")</f>
        <v>-</v>
      </c>
      <c r="AI15" s="1395" t="str">
        <f>IF(VLOOKUP(13,Data!$A:$Z,8,FALSE)="On", "X", "-")</f>
        <v>-</v>
      </c>
      <c r="AJ15" s="1395" t="str">
        <f>IF(VLOOKUP(14,Data!$A:$Z,8,FALSE)="On", "X", "-")</f>
        <v>-</v>
      </c>
      <c r="AK15" s="1395" t="str">
        <f>IF(VLOOKUP(15,Data!$A:$Z,8,FALSE)="On", "X", "-")</f>
        <v>-</v>
      </c>
      <c r="AL15" s="1395" t="str">
        <f>IF(VLOOKUP(16,Data!$A:$Z,8,FALSE)="On", "X", "-")</f>
        <v>-</v>
      </c>
      <c r="AM15" s="1395" t="str">
        <f>IF(VLOOKUP(17,Data!$A:$Z,8,FALSE)="On", "X", "-")</f>
        <v>-</v>
      </c>
      <c r="AN15" s="1395" t="str">
        <f>IF(VLOOKUP(18,Data!$A:$Z,8,FALSE)="On", "X", "-")</f>
        <v>-</v>
      </c>
      <c r="AO15" s="1395" t="str">
        <f>IF(VLOOKUP(19,Data!$A:$Z,8,FALSE)="On", "X", "-")</f>
        <v>-</v>
      </c>
      <c r="AP15" s="1395" t="str">
        <f>IF(VLOOKUP(20,Data!$A:$Z,8,FALSE)="On", "X", "-")</f>
        <v>-</v>
      </c>
      <c r="AQ15" s="1395" t="str">
        <f>IF(VLOOKUP(21,Data!$A:$Z,8,FALSE)="On", "X", "-")</f>
        <v>-</v>
      </c>
      <c r="AR15" s="1395" t="str">
        <f>IF(VLOOKUP(22,Data!$A:$Z,8,FALSE)="On", "X", "-")</f>
        <v>-</v>
      </c>
      <c r="AS15" s="1395" t="str">
        <f>IF(VLOOKUP(23,Data!$A:$Z,8,FALSE)="On", "X", "-")</f>
        <v>-</v>
      </c>
      <c r="AT15" s="1395" t="str">
        <f>IF(VLOOKUP(24,Data!$A:$Z,8,FALSE)="On", "X", "-")</f>
        <v>-</v>
      </c>
      <c r="AU15" s="1395" t="s">
        <v>34</v>
      </c>
      <c r="AV15" s="1395" t="s">
        <v>34</v>
      </c>
      <c r="AW15" s="1395" t="s">
        <v>34</v>
      </c>
      <c r="AX15" s="1395" t="s">
        <v>34</v>
      </c>
      <c r="AY15" s="1395" t="s">
        <v>34</v>
      </c>
      <c r="AZ15" s="1395" t="s">
        <v>34</v>
      </c>
      <c r="BA15" s="1396" t="s">
        <v>34</v>
      </c>
      <c r="BB15" s="2499"/>
      <c r="BC15" s="2500"/>
      <c r="BD15" s="2491"/>
      <c r="BE15" s="2492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</row>
    <row r="16" spans="1:74" s="116" customFormat="1" ht="12" customHeight="1">
      <c r="A16" s="2493">
        <v>8</v>
      </c>
      <c r="B16" s="1381" t="s">
        <v>339</v>
      </c>
      <c r="C16" s="1346" t="s">
        <v>257</v>
      </c>
      <c r="D16" s="1346" t="s">
        <v>340</v>
      </c>
      <c r="E16" s="1346" t="s">
        <v>239</v>
      </c>
      <c r="F16" s="1346" t="s">
        <v>340</v>
      </c>
      <c r="G16" s="1346" t="s">
        <v>339</v>
      </c>
      <c r="H16" s="1346" t="s">
        <v>339</v>
      </c>
      <c r="I16" s="1346" t="s">
        <v>239</v>
      </c>
      <c r="J16" s="1346" t="s">
        <v>341</v>
      </c>
      <c r="K16" s="1346" t="s">
        <v>55</v>
      </c>
      <c r="L16" s="1346" t="s">
        <v>342</v>
      </c>
      <c r="M16" s="1346" t="s">
        <v>251</v>
      </c>
      <c r="N16" s="1346"/>
      <c r="O16" s="1346" t="s">
        <v>341</v>
      </c>
      <c r="P16" s="1346" t="s">
        <v>340</v>
      </c>
      <c r="Q16" s="1346" t="s">
        <v>343</v>
      </c>
      <c r="R16" s="1346" t="s">
        <v>344</v>
      </c>
      <c r="S16" s="1346" t="s">
        <v>343</v>
      </c>
      <c r="T16" s="1346" t="s">
        <v>257</v>
      </c>
      <c r="U16" s="1346" t="s">
        <v>341</v>
      </c>
      <c r="V16" s="1346"/>
      <c r="W16" s="1363">
        <v>1</v>
      </c>
      <c r="X16" s="1363">
        <v>2</v>
      </c>
      <c r="Y16" s="1363">
        <v>3</v>
      </c>
      <c r="Z16" s="1363">
        <v>4</v>
      </c>
      <c r="AA16" s="1363">
        <v>5</v>
      </c>
      <c r="AB16" s="1363">
        <v>6</v>
      </c>
      <c r="AC16" s="1363">
        <v>7</v>
      </c>
      <c r="AD16" s="1363">
        <v>8</v>
      </c>
      <c r="AE16" s="1363">
        <v>9</v>
      </c>
      <c r="AF16" s="1363">
        <v>10</v>
      </c>
      <c r="AG16" s="1363">
        <v>11</v>
      </c>
      <c r="AH16" s="1363">
        <v>12</v>
      </c>
      <c r="AI16" s="1363">
        <v>13</v>
      </c>
      <c r="AJ16" s="1363">
        <v>14</v>
      </c>
      <c r="AK16" s="1363">
        <v>15</v>
      </c>
      <c r="AL16" s="1363">
        <v>16</v>
      </c>
      <c r="AM16" s="1363">
        <v>17</v>
      </c>
      <c r="AN16" s="1363">
        <v>18</v>
      </c>
      <c r="AO16" s="1363">
        <v>19</v>
      </c>
      <c r="AP16" s="1363">
        <v>20</v>
      </c>
      <c r="AQ16" s="1363">
        <v>21</v>
      </c>
      <c r="AR16" s="1363">
        <v>22</v>
      </c>
      <c r="AS16" s="1363">
        <v>23</v>
      </c>
      <c r="AT16" s="1363">
        <v>24</v>
      </c>
      <c r="AU16" s="1363">
        <v>25</v>
      </c>
      <c r="AV16" s="1363">
        <v>26</v>
      </c>
      <c r="AW16" s="1363">
        <v>27</v>
      </c>
      <c r="AX16" s="1363">
        <v>28</v>
      </c>
      <c r="AY16" s="1363">
        <v>29</v>
      </c>
      <c r="AZ16" s="1363">
        <v>30</v>
      </c>
      <c r="BA16" s="1363">
        <v>31</v>
      </c>
      <c r="BB16" s="2501">
        <f>VLOOKUP("Plan",Data!$A:$Z,9,FALSE)</f>
        <v>2</v>
      </c>
      <c r="BC16" s="2502"/>
      <c r="BD16" s="2491"/>
      <c r="BE16" s="2492"/>
      <c r="BH16" s="115"/>
    </row>
    <row r="17" spans="1:74" s="116" customFormat="1" ht="12" customHeight="1" thickBot="1">
      <c r="A17" s="2480"/>
      <c r="B17" s="1397" t="str">
        <f>IF(VLOOKUP("Jan",Data!$A:$Z,9,FALSE)="On", "X", " ")</f>
        <v xml:space="preserve"> </v>
      </c>
      <c r="C17" s="1345" t="str">
        <f>IF(VLOOKUP("Feb",Data!$A:$Z,9,FALSE)="On", "X", " ")</f>
        <v xml:space="preserve"> </v>
      </c>
      <c r="D17" s="1345" t="str">
        <f>IF(VLOOKUP("Mar",Data!$A:$Z,9,FALSE)="On", "X", " ")</f>
        <v xml:space="preserve"> </v>
      </c>
      <c r="E17" s="1345" t="str">
        <f>IF(VLOOKUP("Apr",Data!$A:$Z,9,FALSE)="On", "X", " ")</f>
        <v xml:space="preserve"> </v>
      </c>
      <c r="F17" s="1345" t="str">
        <f>IF(VLOOKUP("May",Data!$A:$Z,9,FALSE)="On", "X", " ")</f>
        <v xml:space="preserve"> </v>
      </c>
      <c r="G17" s="1345" t="str">
        <f>IF(VLOOKUP("Jun",Data!$A:$Z,9,FALSE)="On", "X", " ")</f>
        <v xml:space="preserve"> </v>
      </c>
      <c r="H17" s="1345" t="s">
        <v>34</v>
      </c>
      <c r="I17" s="1345" t="str">
        <f>IF(VLOOKUP("Aug",Data!$A:$Z,9,FALSE)="On", "X", " ")</f>
        <v xml:space="preserve"> </v>
      </c>
      <c r="J17" s="1345" t="str">
        <f>IF(VLOOKUP("Sep",Data!$A:$Z,9,FALSE)="On", "X", " ")</f>
        <v xml:space="preserve"> </v>
      </c>
      <c r="K17" s="1345" t="str">
        <f>IF(VLOOKUP("Oct",Data!$A:$Z,9,FALSE)="On", "X", " ")</f>
        <v xml:space="preserve"> </v>
      </c>
      <c r="L17" s="1345" t="str">
        <f>IF(VLOOKUP("Nov",Data!$A:$Z,9,FALSE)="On", "X", " ")</f>
        <v xml:space="preserve"> </v>
      </c>
      <c r="M17" s="1345" t="str">
        <f>IF(VLOOKUP("Dec",Data!$A:$Z,9,FALSE)="On", "X", " ")</f>
        <v xml:space="preserve"> </v>
      </c>
      <c r="N17" s="1346"/>
      <c r="O17" s="1345" t="str">
        <f>IF(VLOOKUP("Sun",Data!$A:$Z,9,FALSE)="On", "X", " ")</f>
        <v xml:space="preserve"> </v>
      </c>
      <c r="P17" s="1345" t="str">
        <f>IF(VLOOKUP("Mon",Data!$A:$Z,9,FALSE)="On", "X", " ")</f>
        <v xml:space="preserve"> </v>
      </c>
      <c r="Q17" s="1345" t="str">
        <f>IF(VLOOKUP("Tue",Data!$A:$Z,9,FALSE)="On", "X", " ")</f>
        <v xml:space="preserve"> </v>
      </c>
      <c r="R17" s="1345" t="s">
        <v>34</v>
      </c>
      <c r="S17" s="1345" t="str">
        <f>IF(VLOOKUP("Thu",Data!$A:$Z,9,FALSE)="On", "X", " ")</f>
        <v xml:space="preserve"> </v>
      </c>
      <c r="T17" s="1345" t="str">
        <f>IF(VLOOKUP("Fri",Data!$A:$Z,9,FALSE)="On", "X", " ")</f>
        <v xml:space="preserve"> </v>
      </c>
      <c r="U17" s="1345" t="str">
        <f>IF(VLOOKUP("Sat",Data!$A:$Z,9,FALSE)="On", "X", " ")</f>
        <v xml:space="preserve"> </v>
      </c>
      <c r="V17" s="1364"/>
      <c r="W17" s="1345" t="str">
        <f>IF(VLOOKUP(1,Data!$A:$Z,9,FALSE)="On", "X", "-")</f>
        <v>-</v>
      </c>
      <c r="X17" s="1345" t="str">
        <f>IF(VLOOKUP(2,Data!$A:$Z,9,FALSE)="On", "X", "-")</f>
        <v>-</v>
      </c>
      <c r="Y17" s="1345" t="str">
        <f>IF(VLOOKUP(3,Data!$A:$Z,9,FALSE)="On", "X", "-")</f>
        <v>-</v>
      </c>
      <c r="Z17" s="1345" t="s">
        <v>34</v>
      </c>
      <c r="AA17" s="1345" t="str">
        <f>IF(VLOOKUP(5,Data!$A:$Z,9,FALSE)="On", "X", "-")</f>
        <v>-</v>
      </c>
      <c r="AB17" s="1345" t="str">
        <f>IF(VLOOKUP(6,Data!$A:$Z,9,FALSE)="On", "X", "-")</f>
        <v>-</v>
      </c>
      <c r="AC17" s="1345" t="str">
        <f>IF(VLOOKUP(7,Data!$A:$Z,9,FALSE)="On", "X", "-")</f>
        <v>-</v>
      </c>
      <c r="AD17" s="1345" t="str">
        <f>IF(VLOOKUP(8,Data!$A:$Z,9,FALSE)="On", "X", "-")</f>
        <v>-</v>
      </c>
      <c r="AE17" s="1345" t="str">
        <f>IF(VLOOKUP(9,Data!$A:$Z,9,FALSE)="On", "X", "-")</f>
        <v>-</v>
      </c>
      <c r="AF17" s="1345" t="str">
        <f>IF(VLOOKUP(10,Data!$A:$Z,9,FALSE)="On", "X", "-")</f>
        <v>-</v>
      </c>
      <c r="AG17" s="1345" t="str">
        <f>IF(VLOOKUP(11,Data!$A:$Z,9,FALSE)="On", "X", "-")</f>
        <v>-</v>
      </c>
      <c r="AH17" s="1345" t="str">
        <f>IF(VLOOKUP(12,Data!$A:$Z,9,FALSE)="On", "X", "-")</f>
        <v>-</v>
      </c>
      <c r="AI17" s="1345" t="str">
        <f>IF(VLOOKUP(13,Data!$A:$Z,9,FALSE)="On", "X", "-")</f>
        <v>-</v>
      </c>
      <c r="AJ17" s="1345" t="str">
        <f>IF(VLOOKUP(14,Data!$A:$Z,9,FALSE)="On", "X", "-")</f>
        <v>-</v>
      </c>
      <c r="AK17" s="1345" t="str">
        <f>IF(VLOOKUP(15,Data!$A:$Z,9,FALSE)="On", "X", "-")</f>
        <v>-</v>
      </c>
      <c r="AL17" s="1345" t="str">
        <f>IF(VLOOKUP(16,Data!$A:$Z,9,FALSE)="On", "X", "-")</f>
        <v>-</v>
      </c>
      <c r="AM17" s="1345" t="str">
        <f>IF(VLOOKUP(17,Data!$A:$Z,9,FALSE)="On", "X", "-")</f>
        <v>-</v>
      </c>
      <c r="AN17" s="1345" t="str">
        <f>IF(VLOOKUP(18,Data!$A:$Z,9,FALSE)="On", "X", "-")</f>
        <v>-</v>
      </c>
      <c r="AO17" s="1345" t="str">
        <f>IF(VLOOKUP(19,Data!$A:$Z,9,FALSE)="On", "X", "-")</f>
        <v>-</v>
      </c>
      <c r="AP17" s="1345" t="str">
        <f>IF(VLOOKUP(20,Data!$A:$Z,9,FALSE)="On", "X", "-")</f>
        <v>-</v>
      </c>
      <c r="AQ17" s="1345" t="str">
        <f>IF(VLOOKUP(21,Data!$A:$Z,9,FALSE)="On", "X", "-")</f>
        <v>-</v>
      </c>
      <c r="AR17" s="1345" t="str">
        <f>IF(VLOOKUP(22,Data!$A:$Z,9,FALSE)="On", "X", "-")</f>
        <v>-</v>
      </c>
      <c r="AS17" s="1345" t="str">
        <f>IF(VLOOKUP(23,Data!$A:$Z,9,FALSE)="On", "X", "-")</f>
        <v>-</v>
      </c>
      <c r="AT17" s="1345" t="str">
        <f>IF(VLOOKUP(24,Data!$A:$Z,9,FALSE)="On", "X", "-")</f>
        <v>-</v>
      </c>
      <c r="AU17" s="1345" t="str">
        <f>IF(VLOOKUP(25,Data!$A:$Z,9,FALSE)="On", "X", "-")</f>
        <v>-</v>
      </c>
      <c r="AV17" s="1345" t="str">
        <f>IF(VLOOKUP(26,Data!$A:$Z,9,FALSE)="On", "X", "-")</f>
        <v>-</v>
      </c>
      <c r="AW17" s="1345" t="str">
        <f>IF(VLOOKUP(27,Data!$A:$Z,9,FALSE)="On", "X", "-")</f>
        <v>-</v>
      </c>
      <c r="AX17" s="1345" t="str">
        <f>IF(VLOOKUP(28,Data!$A:$Z,9,FALSE)="On", "X", "-")</f>
        <v>-</v>
      </c>
      <c r="AY17" s="1345" t="str">
        <f>IF(VLOOKUP(29,Data!$A:$Z,9,FALSE)="On", "X", "-")</f>
        <v>-</v>
      </c>
      <c r="AZ17" s="1345" t="str">
        <f>IF(VLOOKUP(30,Data!$A:$Z,9,FALSE)="On", "X", "-")</f>
        <v>-</v>
      </c>
      <c r="BA17" s="1399" t="str">
        <f>IF(VLOOKUP(31,Data!$A:$Z,9,FALSE)="On", "X", "-")</f>
        <v>-</v>
      </c>
      <c r="BB17" s="2503"/>
      <c r="BC17" s="2504"/>
      <c r="BD17" s="2491"/>
      <c r="BE17" s="2492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</row>
    <row r="18" spans="1:74" s="116" customFormat="1" ht="12" customHeight="1">
      <c r="A18" s="2477">
        <v>9</v>
      </c>
      <c r="B18" s="1382" t="s">
        <v>339</v>
      </c>
      <c r="C18" s="1367" t="s">
        <v>257</v>
      </c>
      <c r="D18" s="1367" t="s">
        <v>340</v>
      </c>
      <c r="E18" s="1367" t="s">
        <v>239</v>
      </c>
      <c r="F18" s="1367" t="s">
        <v>340</v>
      </c>
      <c r="G18" s="1367" t="s">
        <v>339</v>
      </c>
      <c r="H18" s="1367" t="s">
        <v>339</v>
      </c>
      <c r="I18" s="1367" t="s">
        <v>239</v>
      </c>
      <c r="J18" s="1367" t="s">
        <v>341</v>
      </c>
      <c r="K18" s="1367" t="s">
        <v>55</v>
      </c>
      <c r="L18" s="1367" t="s">
        <v>342</v>
      </c>
      <c r="M18" s="1367" t="s">
        <v>251</v>
      </c>
      <c r="N18" s="1367"/>
      <c r="O18" s="1367" t="s">
        <v>341</v>
      </c>
      <c r="P18" s="1367" t="s">
        <v>340</v>
      </c>
      <c r="Q18" s="1367" t="s">
        <v>343</v>
      </c>
      <c r="R18" s="1367" t="s">
        <v>344</v>
      </c>
      <c r="S18" s="1367" t="s">
        <v>343</v>
      </c>
      <c r="T18" s="1367" t="s">
        <v>257</v>
      </c>
      <c r="U18" s="1367" t="s">
        <v>341</v>
      </c>
      <c r="V18" s="1367"/>
      <c r="W18" s="1383">
        <v>1</v>
      </c>
      <c r="X18" s="1383">
        <v>2</v>
      </c>
      <c r="Y18" s="1383">
        <v>3</v>
      </c>
      <c r="Z18" s="1383">
        <v>4</v>
      </c>
      <c r="AA18" s="1383">
        <v>5</v>
      </c>
      <c r="AB18" s="1383">
        <v>6</v>
      </c>
      <c r="AC18" s="1383">
        <v>7</v>
      </c>
      <c r="AD18" s="1383">
        <v>8</v>
      </c>
      <c r="AE18" s="1383">
        <v>9</v>
      </c>
      <c r="AF18" s="1383">
        <v>10</v>
      </c>
      <c r="AG18" s="1383">
        <v>11</v>
      </c>
      <c r="AH18" s="1383">
        <v>12</v>
      </c>
      <c r="AI18" s="1383">
        <v>13</v>
      </c>
      <c r="AJ18" s="1383">
        <v>14</v>
      </c>
      <c r="AK18" s="1383">
        <v>15</v>
      </c>
      <c r="AL18" s="1383">
        <v>16</v>
      </c>
      <c r="AM18" s="1383">
        <v>17</v>
      </c>
      <c r="AN18" s="1383">
        <v>18</v>
      </c>
      <c r="AO18" s="1383">
        <v>19</v>
      </c>
      <c r="AP18" s="1383">
        <v>20</v>
      </c>
      <c r="AQ18" s="1383">
        <v>21</v>
      </c>
      <c r="AR18" s="1383">
        <v>22</v>
      </c>
      <c r="AS18" s="1383">
        <v>23</v>
      </c>
      <c r="AT18" s="1383">
        <v>24</v>
      </c>
      <c r="AU18" s="1383">
        <v>25</v>
      </c>
      <c r="AV18" s="1383">
        <v>26</v>
      </c>
      <c r="AW18" s="1383">
        <v>27</v>
      </c>
      <c r="AX18" s="1383">
        <v>28</v>
      </c>
      <c r="AY18" s="1383">
        <v>29</v>
      </c>
      <c r="AZ18" s="1383">
        <v>30</v>
      </c>
      <c r="BA18" s="1383">
        <v>31</v>
      </c>
      <c r="BB18" s="2497">
        <f>VLOOKUP("Plan",Data!$A:$Z,10,FALSE)</f>
        <v>3</v>
      </c>
      <c r="BC18" s="2498"/>
      <c r="BD18" s="2491"/>
      <c r="BE18" s="2492"/>
      <c r="BH18" s="115"/>
    </row>
    <row r="19" spans="1:74" s="116" customFormat="1" ht="12" customHeight="1" thickBot="1">
      <c r="A19" s="2496"/>
      <c r="B19" s="1384" t="str">
        <f>IF(VLOOKUP("Jan",Data!$A:$Z,10,FALSE)="On", "X", " ")</f>
        <v xml:space="preserve"> </v>
      </c>
      <c r="C19" s="1385" t="str">
        <f>IF(VLOOKUP("Feb",Data!$A:$Z,10,FALSE)="On", "X", " ")</f>
        <v xml:space="preserve"> </v>
      </c>
      <c r="D19" s="1385" t="str">
        <f>IF(VLOOKUP("Mar",Data!$A:$Z,10,FALSE)="On", "X", " ")</f>
        <v xml:space="preserve"> </v>
      </c>
      <c r="E19" s="1385" t="str">
        <f>IF(VLOOKUP("Apr",Data!$A:$Z,10,FALSE)="On", "X", " ")</f>
        <v xml:space="preserve"> </v>
      </c>
      <c r="F19" s="1385" t="str">
        <f>IF(VLOOKUP("May",Data!$A:$Z,10,FALSE)="On", "X", " ")</f>
        <v xml:space="preserve"> </v>
      </c>
      <c r="G19" s="1385" t="str">
        <f>IF(VLOOKUP("Jun",Data!$A:$Z,10,FALSE)="On", "X", " ")</f>
        <v xml:space="preserve"> </v>
      </c>
      <c r="H19" s="1385" t="str">
        <f>IF(VLOOKUP("Jul",Data!$A:$Z,10,FALSE)="On", "X", " ")</f>
        <v xml:space="preserve"> </v>
      </c>
      <c r="I19" s="1385" t="str">
        <f>IF(VLOOKUP("Aug",Data!$A:$Z,10,FALSE)="On", "X", " ")</f>
        <v xml:space="preserve"> </v>
      </c>
      <c r="J19" s="1385" t="s">
        <v>34</v>
      </c>
      <c r="K19" s="1385" t="str">
        <f>IF(VLOOKUP("Oct",Data!$A:$Z,10,FALSE)="On", "X", " ")</f>
        <v xml:space="preserve"> </v>
      </c>
      <c r="L19" s="1385" t="str">
        <f>IF(VLOOKUP("Nov",Data!$A:$Z,10,FALSE)="On", "X", " ")</f>
        <v xml:space="preserve"> </v>
      </c>
      <c r="M19" s="1385" t="str">
        <f>IF(VLOOKUP("Dec",Data!$A:$Z,10,FALSE)="On", "X", " ")</f>
        <v xml:space="preserve"> </v>
      </c>
      <c r="N19" s="1386"/>
      <c r="O19" s="1385" t="str">
        <f>IF(VLOOKUP("Sun",Data!$A:$Z,10,FALSE)="On", "X", " ")</f>
        <v xml:space="preserve"> </v>
      </c>
      <c r="P19" s="1385" t="s">
        <v>34</v>
      </c>
      <c r="Q19" s="1385" t="str">
        <f>IF(VLOOKUP("Tue",Data!$A:$Z,10,FALSE)="On", "X", " ")</f>
        <v xml:space="preserve"> </v>
      </c>
      <c r="R19" s="1385" t="str">
        <f>IF(VLOOKUP("Wed",Data!$A:$Z,10,FALSE)="On", "X", " ")</f>
        <v xml:space="preserve"> </v>
      </c>
      <c r="S19" s="1385" t="str">
        <f>IF(VLOOKUP("Thu",Data!$A:$Z,10,FALSE)="On", "X", " ")</f>
        <v xml:space="preserve"> </v>
      </c>
      <c r="T19" s="1385" t="str">
        <f>IF(VLOOKUP("Fri",Data!$A:$Z,10,FALSE)="On", "X", " ")</f>
        <v xml:space="preserve"> </v>
      </c>
      <c r="U19" s="1385" t="str">
        <f>IF(VLOOKUP("Sat",Data!$A:$Z,10,FALSE)="On", "X", " ")</f>
        <v xml:space="preserve"> </v>
      </c>
      <c r="V19" s="1387"/>
      <c r="W19" s="1385" t="s">
        <v>3995</v>
      </c>
      <c r="X19" s="1385" t="s">
        <v>34</v>
      </c>
      <c r="Y19" s="1385" t="s">
        <v>34</v>
      </c>
      <c r="Z19" s="1385" t="s">
        <v>34</v>
      </c>
      <c r="AA19" s="1385" t="s">
        <v>34</v>
      </c>
      <c r="AB19" s="1385" t="s">
        <v>34</v>
      </c>
      <c r="AC19" s="1385" t="s">
        <v>34</v>
      </c>
      <c r="AD19" s="1385" t="str">
        <f>IF(VLOOKUP(8,Data!$A:$Z,10,FALSE)="On", "X", "-")</f>
        <v>-</v>
      </c>
      <c r="AE19" s="1385" t="str">
        <f>IF(VLOOKUP(9,Data!$A:$Z,10,FALSE)="On", "X", "-")</f>
        <v>-</v>
      </c>
      <c r="AF19" s="1385" t="str">
        <f>IF(VLOOKUP(10,Data!$A:$Z,10,FALSE)="On", "X", "-")</f>
        <v>-</v>
      </c>
      <c r="AG19" s="1385" t="str">
        <f>IF(VLOOKUP(11,Data!$A:$Z,10,FALSE)="On", "X", "-")</f>
        <v>-</v>
      </c>
      <c r="AH19" s="1385" t="str">
        <f>IF(VLOOKUP(12,Data!$A:$Z,10,FALSE)="On", "X", "-")</f>
        <v>-</v>
      </c>
      <c r="AI19" s="1385" t="str">
        <f>IF(VLOOKUP(13,Data!$A:$Z,10,FALSE)="On", "X", "-")</f>
        <v>-</v>
      </c>
      <c r="AJ19" s="1385" t="str">
        <f>IF(VLOOKUP(14,Data!$A:$Z,10,FALSE)="On", "X", "-")</f>
        <v>-</v>
      </c>
      <c r="AK19" s="1385" t="str">
        <f>IF(VLOOKUP(15,Data!$A:$Z,10,FALSE)="On", "X", "-")</f>
        <v>-</v>
      </c>
      <c r="AL19" s="1385" t="str">
        <f>IF(VLOOKUP(16,Data!$A:$Z,10,FALSE)="On", "X", "-")</f>
        <v>-</v>
      </c>
      <c r="AM19" s="1385" t="str">
        <f>IF(VLOOKUP(17,Data!$A:$Z,10,FALSE)="On", "X", "-")</f>
        <v>-</v>
      </c>
      <c r="AN19" s="1385" t="str">
        <f>IF(VLOOKUP(18,Data!$A:$Z,10,FALSE)="On", "X", "-")</f>
        <v>-</v>
      </c>
      <c r="AO19" s="1385" t="str">
        <f>IF(VLOOKUP(19,Data!$A:$Z,10,FALSE)="On", "X", "-")</f>
        <v>-</v>
      </c>
      <c r="AP19" s="1385" t="str">
        <f>IF(VLOOKUP(20,Data!$A:$Z,10,FALSE)="On", "X", "-")</f>
        <v>-</v>
      </c>
      <c r="AQ19" s="1385" t="str">
        <f>IF(VLOOKUP(21,Data!$A:$Z,10,FALSE)="On", "X", "-")</f>
        <v>-</v>
      </c>
      <c r="AR19" s="1385" t="str">
        <f>IF(VLOOKUP(22,Data!$A:$Z,10,FALSE)="On", "X", "-")</f>
        <v>-</v>
      </c>
      <c r="AS19" s="1385" t="str">
        <f>IF(VLOOKUP(23,Data!$A:$Z,10,FALSE)="On", "X", "-")</f>
        <v>-</v>
      </c>
      <c r="AT19" s="1385" t="str">
        <f>IF(VLOOKUP(24,Data!$A:$Z,10,FALSE)="On", "X", "-")</f>
        <v>-</v>
      </c>
      <c r="AU19" s="1385" t="str">
        <f>IF(VLOOKUP(25,Data!$A:$Z,10,FALSE)="On", "X", "-")</f>
        <v>-</v>
      </c>
      <c r="AV19" s="1385" t="str">
        <f>IF(VLOOKUP(26,Data!$A:$Z,10,FALSE)="On", "X", "-")</f>
        <v>-</v>
      </c>
      <c r="AW19" s="1385" t="str">
        <f>IF(VLOOKUP(27,Data!$A:$Z,10,FALSE)="On", "X", "-")</f>
        <v>-</v>
      </c>
      <c r="AX19" s="1385" t="str">
        <f>IF(VLOOKUP(28,Data!$A:$Z,10,FALSE)="On", "X", "-")</f>
        <v>-</v>
      </c>
      <c r="AY19" s="1385" t="str">
        <f>IF(VLOOKUP(29,Data!$A:$Z,10,FALSE)="On", "X", "-")</f>
        <v>-</v>
      </c>
      <c r="AZ19" s="1385" t="str">
        <f>IF(VLOOKUP(30,Data!$A:$Z,10,FALSE)="On", "X", "-")</f>
        <v>-</v>
      </c>
      <c r="BA19" s="1388" t="str">
        <f>IF(VLOOKUP(31,Data!$A:$Z,10,FALSE)="On", "X", "-")</f>
        <v>-</v>
      </c>
      <c r="BB19" s="2499"/>
      <c r="BC19" s="2500"/>
      <c r="BD19" s="2491"/>
      <c r="BE19" s="2492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</row>
    <row r="20" spans="1:74" s="116" customFormat="1" ht="12" customHeight="1">
      <c r="A20" s="2493">
        <v>10</v>
      </c>
      <c r="B20" s="1381" t="s">
        <v>339</v>
      </c>
      <c r="C20" s="1346" t="s">
        <v>257</v>
      </c>
      <c r="D20" s="1346" t="s">
        <v>340</v>
      </c>
      <c r="E20" s="1346" t="s">
        <v>239</v>
      </c>
      <c r="F20" s="1346" t="s">
        <v>340</v>
      </c>
      <c r="G20" s="1346" t="s">
        <v>339</v>
      </c>
      <c r="H20" s="1346" t="s">
        <v>339</v>
      </c>
      <c r="I20" s="1346" t="s">
        <v>239</v>
      </c>
      <c r="J20" s="1346" t="s">
        <v>341</v>
      </c>
      <c r="K20" s="1346" t="s">
        <v>55</v>
      </c>
      <c r="L20" s="1346" t="s">
        <v>342</v>
      </c>
      <c r="M20" s="1346" t="s">
        <v>251</v>
      </c>
      <c r="N20" s="1346"/>
      <c r="O20" s="1346" t="s">
        <v>341</v>
      </c>
      <c r="P20" s="1346" t="s">
        <v>340</v>
      </c>
      <c r="Q20" s="1346" t="s">
        <v>343</v>
      </c>
      <c r="R20" s="1346" t="s">
        <v>344</v>
      </c>
      <c r="S20" s="1346" t="s">
        <v>343</v>
      </c>
      <c r="T20" s="1346" t="s">
        <v>257</v>
      </c>
      <c r="U20" s="1346" t="s">
        <v>341</v>
      </c>
      <c r="V20" s="1346"/>
      <c r="W20" s="1363">
        <v>1</v>
      </c>
      <c r="X20" s="1363">
        <v>2</v>
      </c>
      <c r="Y20" s="1363">
        <v>3</v>
      </c>
      <c r="Z20" s="1363">
        <v>4</v>
      </c>
      <c r="AA20" s="1363">
        <v>5</v>
      </c>
      <c r="AB20" s="1363">
        <v>6</v>
      </c>
      <c r="AC20" s="1363">
        <v>7</v>
      </c>
      <c r="AD20" s="1363">
        <v>8</v>
      </c>
      <c r="AE20" s="1363">
        <v>9</v>
      </c>
      <c r="AF20" s="1363">
        <v>10</v>
      </c>
      <c r="AG20" s="1363">
        <v>11</v>
      </c>
      <c r="AH20" s="1363">
        <v>12</v>
      </c>
      <c r="AI20" s="1363">
        <v>13</v>
      </c>
      <c r="AJ20" s="1363">
        <v>14</v>
      </c>
      <c r="AK20" s="1363">
        <v>15</v>
      </c>
      <c r="AL20" s="1363">
        <v>16</v>
      </c>
      <c r="AM20" s="1363">
        <v>17</v>
      </c>
      <c r="AN20" s="1363">
        <v>18</v>
      </c>
      <c r="AO20" s="1363">
        <v>19</v>
      </c>
      <c r="AP20" s="1363">
        <v>20</v>
      </c>
      <c r="AQ20" s="1363">
        <v>21</v>
      </c>
      <c r="AR20" s="1363">
        <v>22</v>
      </c>
      <c r="AS20" s="1363">
        <v>23</v>
      </c>
      <c r="AT20" s="1363">
        <v>24</v>
      </c>
      <c r="AU20" s="1363">
        <v>25</v>
      </c>
      <c r="AV20" s="1363">
        <v>26</v>
      </c>
      <c r="AW20" s="1363">
        <v>27</v>
      </c>
      <c r="AX20" s="1363">
        <v>28</v>
      </c>
      <c r="AY20" s="1363">
        <v>29</v>
      </c>
      <c r="AZ20" s="1363">
        <v>30</v>
      </c>
      <c r="BA20" s="1363">
        <v>31</v>
      </c>
      <c r="BB20" s="2501">
        <f>VLOOKUP("Plan",Data!$A:$Z,11,FALSE)</f>
        <v>3</v>
      </c>
      <c r="BC20" s="2502"/>
      <c r="BD20" s="2491"/>
      <c r="BE20" s="2492"/>
      <c r="BH20" s="115"/>
    </row>
    <row r="21" spans="1:74" s="116" customFormat="1" ht="12" customHeight="1" thickBot="1">
      <c r="A21" s="2480"/>
      <c r="B21" s="1397" t="str">
        <f>IF(VLOOKUP("Jan",Data!$A:$Z,11,FALSE)="On", "X", " ")</f>
        <v xml:space="preserve"> </v>
      </c>
      <c r="C21" s="1345" t="str">
        <f>IF(VLOOKUP("Feb",Data!$A:$Z,11,FALSE)="On", "X", " ")</f>
        <v xml:space="preserve"> </v>
      </c>
      <c r="D21" s="1345" t="str">
        <f>IF(VLOOKUP("Mar",Data!$A:$Z,11,FALSE)="On", "X", " ")</f>
        <v xml:space="preserve"> </v>
      </c>
      <c r="E21" s="1345" t="str">
        <f>IF(VLOOKUP("Apr",Data!$A:$Z,11,FALSE)="On", "X", " ")</f>
        <v xml:space="preserve"> </v>
      </c>
      <c r="F21" s="1345" t="str">
        <f>IF(VLOOKUP("May",Data!$A:$Z,11,FALSE)="On", "X", " ")</f>
        <v xml:space="preserve"> </v>
      </c>
      <c r="G21" s="1345" t="str">
        <f>IF(VLOOKUP("Jun",Data!$A:$Z,11,FALSE)="On", "X", " ")</f>
        <v xml:space="preserve"> </v>
      </c>
      <c r="H21" s="1345" t="str">
        <f>IF(VLOOKUP("Jul",Data!$A:$Z,11,FALSE)="On", "X", " ")</f>
        <v xml:space="preserve"> </v>
      </c>
      <c r="I21" s="1345" t="str">
        <f>IF(VLOOKUP("Aug",Data!$A:$Z,11,FALSE)="On", "X", " ")</f>
        <v xml:space="preserve"> </v>
      </c>
      <c r="J21" s="1345" t="str">
        <f>IF(VLOOKUP("Sep",Data!$A:$Z,11,FALSE)="On", "X", " ")</f>
        <v xml:space="preserve"> </v>
      </c>
      <c r="K21" s="1345" t="str">
        <f>IF(VLOOKUP("Oct",Data!$A:$Z,11,FALSE)="On", "X", " ")</f>
        <v xml:space="preserve"> </v>
      </c>
      <c r="L21" s="1345" t="s">
        <v>34</v>
      </c>
      <c r="M21" s="1345" t="str">
        <f>IF(VLOOKUP("Dec",Data!$A:$Z,11,FALSE)="On", "X", " ")</f>
        <v xml:space="preserve"> </v>
      </c>
      <c r="N21" s="1400"/>
      <c r="O21" s="1345" t="str">
        <f>IF(VLOOKUP("Sun",Data!$A:$Z,11,FALSE)="On", "X", " ")</f>
        <v xml:space="preserve"> </v>
      </c>
      <c r="P21" s="1345" t="s">
        <v>34</v>
      </c>
      <c r="Q21" s="1345" t="str">
        <f>IF(VLOOKUP("Tue",Data!$A:$Z,11,FALSE)="On", "X", " ")</f>
        <v xml:space="preserve"> </v>
      </c>
      <c r="R21" s="1345" t="str">
        <f>IF(VLOOKUP("Wed",Data!$A:$Z,11,FALSE)="On", "X", " ")</f>
        <v xml:space="preserve"> </v>
      </c>
      <c r="S21" s="1345" t="str">
        <f>IF(VLOOKUP("Thu",Data!$A:$Z,11,FALSE)="On", "X", " ")</f>
        <v xml:space="preserve"> </v>
      </c>
      <c r="T21" s="1345" t="str">
        <f>IF(VLOOKUP("Fri",Data!$A:$Z,11,FALSE)="On", "X", " ")</f>
        <v xml:space="preserve"> </v>
      </c>
      <c r="U21" s="1345" t="str">
        <f>IF(VLOOKUP("Sat",Data!$A:$Z,11,FALSE)="On", "X", " ")</f>
        <v xml:space="preserve"> </v>
      </c>
      <c r="V21" s="1364"/>
      <c r="W21" s="1345" t="str">
        <f>IF(VLOOKUP(1,Data!$A:$Z,11,FALSE)="On", "X", "-")</f>
        <v>-</v>
      </c>
      <c r="X21" s="1345" t="str">
        <f>IF(VLOOKUP(2,Data!$A:$Z,11,FALSE)="On", "X", "-")</f>
        <v>-</v>
      </c>
      <c r="Y21" s="1345" t="str">
        <f>IF(VLOOKUP(3,Data!$A:$Z,11,FALSE)="On", "X", "-")</f>
        <v>-</v>
      </c>
      <c r="Z21" s="1345" t="str">
        <f>IF(VLOOKUP(4,Data!$A:$Z,11,FALSE)="On", "X", "-")</f>
        <v>-</v>
      </c>
      <c r="AA21" s="1345" t="str">
        <f>IF(VLOOKUP(5,Data!$A:$Z,11,FALSE)="On", "X", "-")</f>
        <v>-</v>
      </c>
      <c r="AB21" s="1345" t="str">
        <f>IF(VLOOKUP(6,Data!$A:$Z,11,FALSE)="On", "X", "-")</f>
        <v>-</v>
      </c>
      <c r="AC21" s="1345" t="str">
        <f>IF(VLOOKUP(7,Data!$A:$Z,11,FALSE)="On", "X", "-")</f>
        <v>-</v>
      </c>
      <c r="AD21" s="1345" t="str">
        <f>IF(VLOOKUP(8,Data!$A:$Z,11,FALSE)="On", "X", "-")</f>
        <v>-</v>
      </c>
      <c r="AE21" s="1345" t="str">
        <f>IF(VLOOKUP(9,Data!$A:$Z,11,FALSE)="On", "X", "-")</f>
        <v>-</v>
      </c>
      <c r="AF21" s="1345" t="str">
        <f>IF(VLOOKUP(10,Data!$A:$Z,11,FALSE)="On", "X", "-")</f>
        <v>-</v>
      </c>
      <c r="AG21" s="1345" t="str">
        <f>IF(VLOOKUP(11,Data!$A:$Z,11,FALSE)="On", "X", "-")</f>
        <v>-</v>
      </c>
      <c r="AH21" s="1345" t="s">
        <v>34</v>
      </c>
      <c r="AI21" s="1345" t="str">
        <f>IF(VLOOKUP(13,Data!$A:$Z,11,FALSE)="On", "X", "-")</f>
        <v>-</v>
      </c>
      <c r="AJ21" s="1345" t="str">
        <f>IF(VLOOKUP(14,Data!$A:$Z,11,FALSE)="On", "X", "-")</f>
        <v>-</v>
      </c>
      <c r="AK21" s="1345" t="str">
        <f>IF(VLOOKUP(15,Data!$A:$Z,11,FALSE)="On", "X", "-")</f>
        <v>-</v>
      </c>
      <c r="AL21" s="1345" t="str">
        <f>IF(VLOOKUP(16,Data!$A:$Z,11,FALSE)="On", "X", "-")</f>
        <v>-</v>
      </c>
      <c r="AM21" s="1345" t="str">
        <f>IF(VLOOKUP(17,Data!$A:$Z,11,FALSE)="On", "X", "-")</f>
        <v>-</v>
      </c>
      <c r="AN21" s="1345" t="str">
        <f>IF(VLOOKUP(18,Data!$A:$Z,11,FALSE)="On", "X", "-")</f>
        <v>-</v>
      </c>
      <c r="AO21" s="1345" t="str">
        <f>IF(VLOOKUP(19,Data!$A:$Z,11,FALSE)="On", "X", "-")</f>
        <v>-</v>
      </c>
      <c r="AP21" s="1345" t="str">
        <f>IF(VLOOKUP(20,Data!$A:$Z,11,FALSE)="On", "X", "-")</f>
        <v>-</v>
      </c>
      <c r="AQ21" s="1345" t="str">
        <f>IF(VLOOKUP(21,Data!$A:$Z,11,FALSE)="On", "X", "-")</f>
        <v>-</v>
      </c>
      <c r="AR21" s="1345" t="str">
        <f>IF(VLOOKUP(22,Data!$A:$Z,11,FALSE)="On", "X", "-")</f>
        <v>-</v>
      </c>
      <c r="AS21" s="1345" t="str">
        <f>IF(VLOOKUP(23,Data!$A:$Z,11,FALSE)="On", "X", "-")</f>
        <v>-</v>
      </c>
      <c r="AT21" s="1345" t="str">
        <f>IF(VLOOKUP(24,Data!$A:$Z,11,FALSE)="On", "X", "-")</f>
        <v>-</v>
      </c>
      <c r="AU21" s="1345" t="str">
        <f>IF(VLOOKUP(25,Data!$A:$Z,11,FALSE)="On", "X", "-")</f>
        <v>-</v>
      </c>
      <c r="AV21" s="1345" t="str">
        <f>IF(VLOOKUP(26,Data!$A:$Z,11,FALSE)="On", "X", "-")</f>
        <v>-</v>
      </c>
      <c r="AW21" s="1345" t="str">
        <f>IF(VLOOKUP(27,Data!$A:$Z,11,FALSE)="On", "X", "-")</f>
        <v>-</v>
      </c>
      <c r="AX21" s="1345" t="str">
        <f>IF(VLOOKUP(28,Data!$A:$Z,11,FALSE)="On", "X", "-")</f>
        <v>-</v>
      </c>
      <c r="AY21" s="1345" t="str">
        <f>IF(VLOOKUP(29,Data!$A:$Z,11,FALSE)="On", "X", "-")</f>
        <v>-</v>
      </c>
      <c r="AZ21" s="1345" t="str">
        <f>IF(VLOOKUP(30,Data!$A:$Z,11,FALSE)="On", "X", "-")</f>
        <v>-</v>
      </c>
      <c r="BA21" s="1399" t="str">
        <f>IF(VLOOKUP(31,Data!$A:$Z,11,FALSE)="On", "X", "-")</f>
        <v>-</v>
      </c>
      <c r="BB21" s="2503"/>
      <c r="BC21" s="2504"/>
      <c r="BD21" s="2491"/>
      <c r="BE21" s="2492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</row>
    <row r="22" spans="1:74" s="116" customFormat="1" ht="12" customHeight="1">
      <c r="A22" s="2477">
        <v>11</v>
      </c>
      <c r="B22" s="1382" t="s">
        <v>339</v>
      </c>
      <c r="C22" s="1367" t="s">
        <v>257</v>
      </c>
      <c r="D22" s="1367" t="s">
        <v>340</v>
      </c>
      <c r="E22" s="1367" t="s">
        <v>239</v>
      </c>
      <c r="F22" s="1367" t="s">
        <v>340</v>
      </c>
      <c r="G22" s="1367" t="s">
        <v>339</v>
      </c>
      <c r="H22" s="1367" t="s">
        <v>339</v>
      </c>
      <c r="I22" s="1367" t="s">
        <v>239</v>
      </c>
      <c r="J22" s="1367" t="s">
        <v>341</v>
      </c>
      <c r="K22" s="1366" t="s">
        <v>55</v>
      </c>
      <c r="L22" s="1366" t="s">
        <v>342</v>
      </c>
      <c r="M22" s="1366" t="s">
        <v>251</v>
      </c>
      <c r="N22" s="1367"/>
      <c r="O22" s="1367" t="s">
        <v>341</v>
      </c>
      <c r="P22" s="1367" t="s">
        <v>340</v>
      </c>
      <c r="Q22" s="1367" t="s">
        <v>343</v>
      </c>
      <c r="R22" s="1367" t="s">
        <v>344</v>
      </c>
      <c r="S22" s="1367" t="s">
        <v>343</v>
      </c>
      <c r="T22" s="1367" t="s">
        <v>257</v>
      </c>
      <c r="U22" s="1367" t="s">
        <v>341</v>
      </c>
      <c r="V22" s="1367"/>
      <c r="W22" s="1383">
        <v>1</v>
      </c>
      <c r="X22" s="1383">
        <v>2</v>
      </c>
      <c r="Y22" s="1383">
        <v>3</v>
      </c>
      <c r="Z22" s="1383">
        <v>4</v>
      </c>
      <c r="AA22" s="1383">
        <v>5</v>
      </c>
      <c r="AB22" s="1383">
        <v>6</v>
      </c>
      <c r="AC22" s="1383">
        <v>7</v>
      </c>
      <c r="AD22" s="1383">
        <v>8</v>
      </c>
      <c r="AE22" s="1383">
        <v>9</v>
      </c>
      <c r="AF22" s="1383">
        <v>10</v>
      </c>
      <c r="AG22" s="1383">
        <v>11</v>
      </c>
      <c r="AH22" s="1383">
        <v>12</v>
      </c>
      <c r="AI22" s="1383">
        <v>13</v>
      </c>
      <c r="AJ22" s="1383">
        <v>14</v>
      </c>
      <c r="AK22" s="1383">
        <v>15</v>
      </c>
      <c r="AL22" s="1383">
        <v>16</v>
      </c>
      <c r="AM22" s="1383">
        <v>17</v>
      </c>
      <c r="AN22" s="1383">
        <v>18</v>
      </c>
      <c r="AO22" s="1383">
        <v>19</v>
      </c>
      <c r="AP22" s="1383">
        <v>20</v>
      </c>
      <c r="AQ22" s="1383">
        <v>21</v>
      </c>
      <c r="AR22" s="1383">
        <v>22</v>
      </c>
      <c r="AS22" s="1383">
        <v>23</v>
      </c>
      <c r="AT22" s="1383">
        <v>24</v>
      </c>
      <c r="AU22" s="1383">
        <v>25</v>
      </c>
      <c r="AV22" s="1383">
        <v>26</v>
      </c>
      <c r="AW22" s="1383">
        <v>27</v>
      </c>
      <c r="AX22" s="1383">
        <v>28</v>
      </c>
      <c r="AY22" s="1383">
        <v>29</v>
      </c>
      <c r="AZ22" s="1383">
        <v>30</v>
      </c>
      <c r="BA22" s="1383">
        <v>31</v>
      </c>
      <c r="BB22" s="2497">
        <f>VLOOKUP("Plan",Data!$A:$Z,12,FALSE)</f>
        <v>4</v>
      </c>
      <c r="BC22" s="2498"/>
      <c r="BD22" s="2491"/>
      <c r="BE22" s="2492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</row>
    <row r="23" spans="1:74" s="116" customFormat="1" ht="12" customHeight="1" thickBot="1">
      <c r="A23" s="2496"/>
      <c r="B23" s="1384" t="str">
        <f>IF(VLOOKUP("Jan",Data!$A:$Z,12,FALSE)="On", "X", " ")</f>
        <v xml:space="preserve"> </v>
      </c>
      <c r="C23" s="1385" t="str">
        <f>IF(VLOOKUP("Feb",Data!$A:$Z,12,FALSE)="On", "X", " ")</f>
        <v xml:space="preserve"> </v>
      </c>
      <c r="D23" s="1385" t="str">
        <f>IF(VLOOKUP("Mar",Data!$A:$Z,12,FALSE)="On", "X", " ")</f>
        <v xml:space="preserve"> </v>
      </c>
      <c r="E23" s="1385" t="str">
        <f>IF(VLOOKUP("Apr",Data!$A:$Z,12,FALSE)="On", "X", " ")</f>
        <v xml:space="preserve"> </v>
      </c>
      <c r="F23" s="1385" t="str">
        <f>IF(VLOOKUP("May",Data!$A:$Z,12,FALSE)="On", "X", " ")</f>
        <v xml:space="preserve"> </v>
      </c>
      <c r="G23" s="1385" t="str">
        <f>IF(VLOOKUP("Jun",Data!$A:$Z,12,FALSE)="On", "X", " ")</f>
        <v xml:space="preserve"> </v>
      </c>
      <c r="H23" s="1385" t="str">
        <f>IF(VLOOKUP("Jul",Data!$A:$Z,12,FALSE)="On", "X", " ")</f>
        <v xml:space="preserve"> </v>
      </c>
      <c r="I23" s="1385" t="str">
        <f>IF(VLOOKUP("Aug",Data!$A:$Z,12,FALSE)="On", "X", " ")</f>
        <v xml:space="preserve"> </v>
      </c>
      <c r="J23" s="1385" t="str">
        <f>IF(VLOOKUP("Sep",Data!$A:$Z,12,FALSE)="On", "X", " ")</f>
        <v xml:space="preserve"> </v>
      </c>
      <c r="K23" s="1385" t="str">
        <f>IF(VLOOKUP("Oct",Data!$A:$Z,12,FALSE)="On", "X", " ")</f>
        <v xml:space="preserve"> </v>
      </c>
      <c r="L23" s="1385" t="s">
        <v>34</v>
      </c>
      <c r="M23" s="1385" t="str">
        <f>IF(VLOOKUP("Dec",Data!$A:$Z,12,FALSE)="On", "X", " ")</f>
        <v xml:space="preserve"> </v>
      </c>
      <c r="N23" s="1386"/>
      <c r="O23" s="1385" t="str">
        <f>IF(VLOOKUP("Sun",Data!$A:$Z,12,FALSE)="On", "X", " ")</f>
        <v xml:space="preserve"> </v>
      </c>
      <c r="P23" s="1385" t="str">
        <f>IF(VLOOKUP("Mon",Data!$A:$Z,12,FALSE)="On", "X", " ")</f>
        <v xml:space="preserve"> </v>
      </c>
      <c r="Q23" s="1385" t="str">
        <f>IF(VLOOKUP("Tue",Data!$A:$Z,12,FALSE)="On", "X", " ")</f>
        <v xml:space="preserve"> </v>
      </c>
      <c r="R23" s="1385" t="str">
        <f>IF(VLOOKUP("Wed",Data!$A:$Z,12,FALSE)="On", "X", " ")</f>
        <v xml:space="preserve"> </v>
      </c>
      <c r="S23" s="1385" t="s">
        <v>34</v>
      </c>
      <c r="T23" s="1385" t="str">
        <f>IF(VLOOKUP("Fri",Data!$A:$Z,12,FALSE)="On", "X", " ")</f>
        <v xml:space="preserve"> </v>
      </c>
      <c r="U23" s="1385" t="str">
        <f>IF(VLOOKUP("Sat",Data!$A:$Z,12,FALSE)="On", "X", " ")</f>
        <v xml:space="preserve"> </v>
      </c>
      <c r="V23" s="1387"/>
      <c r="W23" s="1385" t="str">
        <f>IF(VLOOKUP(1,Data!$A:$Z,12,FALSE)="On", "X", "-")</f>
        <v>-</v>
      </c>
      <c r="X23" s="1385" t="str">
        <f>IF(VLOOKUP(2,Data!$A:$Z,12,FALSE)="On", "X", "-")</f>
        <v>-</v>
      </c>
      <c r="Y23" s="1385" t="str">
        <f>IF(VLOOKUP(3,Data!$A:$Z,12,FALSE)="On", "X", "-")</f>
        <v>-</v>
      </c>
      <c r="Z23" s="1385" t="str">
        <f>IF(VLOOKUP(4,Data!$A:$Z,12,FALSE)="On", "X", "-")</f>
        <v>-</v>
      </c>
      <c r="AA23" s="1385" t="str">
        <f>IF(VLOOKUP(5,Data!$A:$Z,12,FALSE)="On", "X", "-")</f>
        <v>-</v>
      </c>
      <c r="AB23" s="1385" t="str">
        <f>IF(VLOOKUP(6,Data!$A:$Z,12,FALSE)="On", "X", "-")</f>
        <v>-</v>
      </c>
      <c r="AC23" s="1385" t="str">
        <f>IF(VLOOKUP(7,Data!$A:$Z,12,FALSE)="On", "X", "-")</f>
        <v>-</v>
      </c>
      <c r="AD23" s="1385" t="str">
        <f>IF(VLOOKUP(8,Data!$A:$Z,12,FALSE)="On", "X", "-")</f>
        <v>-</v>
      </c>
      <c r="AE23" s="1385" t="str">
        <f>IF(VLOOKUP(9,Data!$A:$Z,12,FALSE)="On", "X", "-")</f>
        <v>-</v>
      </c>
      <c r="AF23" s="1385" t="str">
        <f>IF(VLOOKUP(10,Data!$A:$Z,12,FALSE)="On", "X", "-")</f>
        <v>-</v>
      </c>
      <c r="AG23" s="1385" t="str">
        <f>IF(VLOOKUP(11,Data!$A:$Z,12,FALSE)="On", "X", "-")</f>
        <v>-</v>
      </c>
      <c r="AH23" s="1385" t="str">
        <f>IF(VLOOKUP(12,Data!$A:$Z,12,FALSE)="On", "X", "-")</f>
        <v>-</v>
      </c>
      <c r="AI23" s="1385" t="str">
        <f>IF(VLOOKUP(13,Data!$A:$Z,12,FALSE)="On", "X", "-")</f>
        <v>-</v>
      </c>
      <c r="AJ23" s="1385" t="str">
        <f>IF(VLOOKUP(14,Data!$A:$Z,12,FALSE)="On", "X", "-")</f>
        <v>-</v>
      </c>
      <c r="AK23" s="1385" t="str">
        <f>IF(VLOOKUP(15,Data!$A:$Z,12,FALSE)="On", "X", "-")</f>
        <v>-</v>
      </c>
      <c r="AL23" s="1385" t="str">
        <f>IF(VLOOKUP(16,Data!$A:$Z,12,FALSE)="On", "X", "-")</f>
        <v>-</v>
      </c>
      <c r="AM23" s="1385" t="str">
        <f>IF(VLOOKUP(17,Data!$A:$Z,12,FALSE)="On", "X", "-")</f>
        <v>-</v>
      </c>
      <c r="AN23" s="1385" t="str">
        <f>IF(VLOOKUP(18,Data!$A:$Z,12,FALSE)="On", "X", "-")</f>
        <v>-</v>
      </c>
      <c r="AO23" s="1385" t="str">
        <f>IF(VLOOKUP(19,Data!$A:$Z,12,FALSE)="On", "X", "-")</f>
        <v>-</v>
      </c>
      <c r="AP23" s="1385" t="str">
        <f>IF(VLOOKUP(20,Data!$A:$Z,12,FALSE)="On", "X", "-")</f>
        <v>-</v>
      </c>
      <c r="AQ23" s="1385" t="str">
        <f>IF(VLOOKUP(21,Data!$A:$Z,12,FALSE)="On", "X", "-")</f>
        <v>-</v>
      </c>
      <c r="AR23" s="1385" t="s">
        <v>34</v>
      </c>
      <c r="AS23" s="1385" t="s">
        <v>34</v>
      </c>
      <c r="AT23" s="1385" t="s">
        <v>34</v>
      </c>
      <c r="AU23" s="1385" t="s">
        <v>34</v>
      </c>
      <c r="AV23" s="1385" t="s">
        <v>34</v>
      </c>
      <c r="AW23" s="1385" t="s">
        <v>34</v>
      </c>
      <c r="AX23" s="1385" t="s">
        <v>34</v>
      </c>
      <c r="AY23" s="1385" t="str">
        <f>IF(VLOOKUP(29,Data!$A:$Z,12,FALSE)="On", "X", "-")</f>
        <v>-</v>
      </c>
      <c r="AZ23" s="1385" t="str">
        <f>IF(VLOOKUP(30,Data!$A:$Z,12,FALSE)="On", "X", "-")</f>
        <v>-</v>
      </c>
      <c r="BA23" s="1388" t="str">
        <f>IF(VLOOKUP(31,Data!$A:$Z,12,FALSE)="On", "X", "-")</f>
        <v>-</v>
      </c>
      <c r="BB23" s="2499"/>
      <c r="BC23" s="2500"/>
      <c r="BD23" s="2491"/>
      <c r="BE23" s="2492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</row>
    <row r="24" spans="1:74" s="116" customFormat="1" ht="12" customHeight="1">
      <c r="A24" s="2493">
        <v>12</v>
      </c>
      <c r="B24" s="1381" t="s">
        <v>339</v>
      </c>
      <c r="C24" s="1346" t="s">
        <v>257</v>
      </c>
      <c r="D24" s="1346" t="s">
        <v>340</v>
      </c>
      <c r="E24" s="1346" t="s">
        <v>239</v>
      </c>
      <c r="F24" s="1346" t="s">
        <v>340</v>
      </c>
      <c r="G24" s="1346" t="s">
        <v>339</v>
      </c>
      <c r="H24" s="1346" t="s">
        <v>339</v>
      </c>
      <c r="I24" s="1346" t="s">
        <v>239</v>
      </c>
      <c r="J24" s="1346" t="s">
        <v>341</v>
      </c>
      <c r="K24" s="1346" t="s">
        <v>55</v>
      </c>
      <c r="L24" s="1346" t="s">
        <v>342</v>
      </c>
      <c r="M24" s="1346" t="s">
        <v>251</v>
      </c>
      <c r="N24" s="1346"/>
      <c r="O24" s="1346" t="s">
        <v>341</v>
      </c>
      <c r="P24" s="1346" t="s">
        <v>340</v>
      </c>
      <c r="Q24" s="1346" t="s">
        <v>343</v>
      </c>
      <c r="R24" s="1346" t="s">
        <v>344</v>
      </c>
      <c r="S24" s="1346" t="s">
        <v>343</v>
      </c>
      <c r="T24" s="1346" t="s">
        <v>257</v>
      </c>
      <c r="U24" s="1346" t="s">
        <v>341</v>
      </c>
      <c r="V24" s="1346" t="s">
        <v>34</v>
      </c>
      <c r="W24" s="1363">
        <v>1</v>
      </c>
      <c r="X24" s="1363">
        <v>2</v>
      </c>
      <c r="Y24" s="1363">
        <v>3</v>
      </c>
      <c r="Z24" s="1363">
        <v>4</v>
      </c>
      <c r="AA24" s="1363">
        <v>5</v>
      </c>
      <c r="AB24" s="1363">
        <v>6</v>
      </c>
      <c r="AC24" s="1363">
        <v>7</v>
      </c>
      <c r="AD24" s="1363">
        <v>8</v>
      </c>
      <c r="AE24" s="1363">
        <v>9</v>
      </c>
      <c r="AF24" s="1363">
        <v>10</v>
      </c>
      <c r="AG24" s="1363">
        <v>11</v>
      </c>
      <c r="AH24" s="1363">
        <v>12</v>
      </c>
      <c r="AI24" s="1363">
        <v>13</v>
      </c>
      <c r="AJ24" s="1363">
        <v>14</v>
      </c>
      <c r="AK24" s="1363">
        <v>15</v>
      </c>
      <c r="AL24" s="1363">
        <v>16</v>
      </c>
      <c r="AM24" s="1363">
        <v>17</v>
      </c>
      <c r="AN24" s="1363">
        <v>18</v>
      </c>
      <c r="AO24" s="1363">
        <v>19</v>
      </c>
      <c r="AP24" s="1363">
        <v>20</v>
      </c>
      <c r="AQ24" s="1363">
        <v>21</v>
      </c>
      <c r="AR24" s="1363">
        <v>22</v>
      </c>
      <c r="AS24" s="1363">
        <v>23</v>
      </c>
      <c r="AT24" s="1363">
        <v>24</v>
      </c>
      <c r="AU24" s="1363">
        <v>25</v>
      </c>
      <c r="AV24" s="1363">
        <v>26</v>
      </c>
      <c r="AW24" s="1363">
        <v>27</v>
      </c>
      <c r="AX24" s="1363">
        <v>28</v>
      </c>
      <c r="AY24" s="1363">
        <v>29</v>
      </c>
      <c r="AZ24" s="1363">
        <v>30</v>
      </c>
      <c r="BA24" s="1363">
        <v>31</v>
      </c>
      <c r="BB24" s="2501">
        <f>VLOOKUP("Plan",Data!$A:$Z,13,FALSE)</f>
        <v>3</v>
      </c>
      <c r="BC24" s="2502"/>
      <c r="BD24" s="2491"/>
      <c r="BE24" s="2492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</row>
    <row r="25" spans="1:74" s="116" customFormat="1" ht="12" customHeight="1" thickBot="1">
      <c r="A25" s="2480"/>
      <c r="B25" s="1397" t="str">
        <f>IF(VLOOKUP("Jan",Data!$A:$Z,13,FALSE)="On", "X", " ")</f>
        <v xml:space="preserve"> </v>
      </c>
      <c r="C25" s="1345" t="str">
        <f>IF(VLOOKUP("Feb",Data!$A:$Z,13,FALSE)="On", "X", " ")</f>
        <v xml:space="preserve"> </v>
      </c>
      <c r="D25" s="1345" t="str">
        <f>IF(VLOOKUP("Mar",Data!$A:$Z,13,FALSE)="On", "X", " ")</f>
        <v xml:space="preserve"> </v>
      </c>
      <c r="E25" s="1345" t="str">
        <f>IF(VLOOKUP("Apr",Data!$A:$Z,13,FALSE)="On", "X", " ")</f>
        <v xml:space="preserve"> </v>
      </c>
      <c r="F25" s="1345" t="str">
        <f>IF(VLOOKUP("May",Data!$A:$Z,13,FALSE)="On", "X", " ")</f>
        <v xml:space="preserve"> </v>
      </c>
      <c r="G25" s="1345" t="str">
        <f>IF(VLOOKUP("Jun",Data!$A:$Z,13,FALSE)="On", "X", " ")</f>
        <v xml:space="preserve"> </v>
      </c>
      <c r="H25" s="1345" t="str">
        <f>IF(VLOOKUP("Jul",Data!$A:$Z,13,FALSE)="On", "X", " ")</f>
        <v xml:space="preserve"> </v>
      </c>
      <c r="I25" s="1345" t="str">
        <f>IF(VLOOKUP("Aug",Data!$A:$Z,13,FALSE)="On", "X", " ")</f>
        <v xml:space="preserve"> </v>
      </c>
      <c r="J25" s="1345" t="str">
        <f>IF(VLOOKUP("Sep",Data!$A:$Z,13,FALSE)="On", "X", " ")</f>
        <v xml:space="preserve"> </v>
      </c>
      <c r="K25" s="1345" t="str">
        <f>IF(VLOOKUP("Oct",Data!$A:$Z,13,FALSE)="On", "X", " ")</f>
        <v xml:space="preserve"> </v>
      </c>
      <c r="L25" s="1345" t="s">
        <v>34</v>
      </c>
      <c r="M25" s="1345" t="str">
        <f>IF(VLOOKUP("Dec",Data!$A:$Z,13,FALSE)="On", "X", " ")</f>
        <v xml:space="preserve"> </v>
      </c>
      <c r="N25" s="1346"/>
      <c r="O25" s="1391" t="str">
        <f>IF(VLOOKUP("Sun",Data!$A:$Z,13,FALSE)="On", "X", " ")</f>
        <v xml:space="preserve"> </v>
      </c>
      <c r="P25" s="1391" t="str">
        <f>IF(VLOOKUP("Mon",Data!$A:$Z,13,FALSE)="On", "X", " ")</f>
        <v xml:space="preserve"> </v>
      </c>
      <c r="Q25" s="1391" t="str">
        <f>IF(VLOOKUP("Tue",Data!$A:$Z,13,FALSE)="On", "X", " ")</f>
        <v xml:space="preserve"> </v>
      </c>
      <c r="R25" s="1391" t="str">
        <f>IF(VLOOKUP("Wed",Data!$A:$Z,13,FALSE)="On", "X", " ")</f>
        <v xml:space="preserve"> </v>
      </c>
      <c r="S25" s="1391" t="str">
        <f>IF(VLOOKUP("Thu",Data!$A:$Z,13,FALSE)="On", "X", " ")</f>
        <v xml:space="preserve"> </v>
      </c>
      <c r="T25" s="1391" t="s">
        <v>34</v>
      </c>
      <c r="U25" s="1391" t="str">
        <f>IF(VLOOKUP("Sat",Data!$A:$Z,13,FALSE)="On", "X", " ")</f>
        <v xml:space="preserve"> </v>
      </c>
      <c r="V25" s="1364" t="s">
        <v>34</v>
      </c>
      <c r="W25" s="1391" t="str">
        <f>IF(VLOOKUP(1,Data!$A:$Z,13,FALSE)="On", "X", "-")</f>
        <v>-</v>
      </c>
      <c r="X25" s="1391" t="str">
        <f>IF(VLOOKUP(2,Data!$A:$Z,13,FALSE)="On", "X", "-")</f>
        <v>-</v>
      </c>
      <c r="Y25" s="1391" t="str">
        <f>IF(VLOOKUP(3,Data!$A:$Z,13,FALSE)="On", "X", "-")</f>
        <v>-</v>
      </c>
      <c r="Z25" s="1391" t="str">
        <f>IF(VLOOKUP(4,Data!$A:$Z,13,FALSE)="On", "X", "-")</f>
        <v>-</v>
      </c>
      <c r="AA25" s="1391" t="str">
        <f>IF(VLOOKUP(5,Data!$A:$Z,13,FALSE)="On", "X", "-")</f>
        <v>-</v>
      </c>
      <c r="AB25" s="1391" t="str">
        <f>IF(VLOOKUP(6,Data!$A:$Z,13,FALSE)="On", "X", "-")</f>
        <v>-</v>
      </c>
      <c r="AC25" s="1391" t="str">
        <f>IF(VLOOKUP(7,Data!$A:$Z,13,FALSE)="On", "X", "-")</f>
        <v>-</v>
      </c>
      <c r="AD25" s="1391" t="str">
        <f>IF(VLOOKUP(8,Data!$A:$Z,13,FALSE)="On", "X", "-")</f>
        <v>-</v>
      </c>
      <c r="AE25" s="1391" t="str">
        <f>IF(VLOOKUP(9,Data!$A:$Z,13,FALSE)="On", "X", "-")</f>
        <v>-</v>
      </c>
      <c r="AF25" s="1391" t="str">
        <f>IF(VLOOKUP(10,Data!$A:$Z,13,FALSE)="On", "X", "-")</f>
        <v>-</v>
      </c>
      <c r="AG25" s="1391" t="str">
        <f>IF(VLOOKUP(11,Data!$A:$Z,13,FALSE)="On", "X", "-")</f>
        <v>-</v>
      </c>
      <c r="AH25" s="1391" t="str">
        <f>IF(VLOOKUP(12,Data!$A:$Z,13,FALSE)="On", "X", "-")</f>
        <v>-</v>
      </c>
      <c r="AI25" s="1391" t="str">
        <f>IF(VLOOKUP(13,Data!$A:$Z,13,FALSE)="On", "X", "-")</f>
        <v>-</v>
      </c>
      <c r="AJ25" s="1391" t="str">
        <f>IF(VLOOKUP(14,Data!$A:$Z,13,FALSE)="On", "X", "-")</f>
        <v>-</v>
      </c>
      <c r="AK25" s="1391" t="str">
        <f>IF(VLOOKUP(15,Data!$A:$Z,13,FALSE)="On", "X", "-")</f>
        <v>-</v>
      </c>
      <c r="AL25" s="1391" t="str">
        <f>IF(VLOOKUP(16,Data!$A:$Z,13,FALSE)="On", "X", "-")</f>
        <v>-</v>
      </c>
      <c r="AM25" s="1391" t="str">
        <f>IF(VLOOKUP(17,Data!$A:$Z,13,FALSE)="On", "X", "-")</f>
        <v>-</v>
      </c>
      <c r="AN25" s="1391" t="str">
        <f>IF(VLOOKUP(18,Data!$A:$Z,13,FALSE)="On", "X", "-")</f>
        <v>-</v>
      </c>
      <c r="AO25" s="1391" t="str">
        <f>IF(VLOOKUP(19,Data!$A:$Z,13,FALSE)="On", "X", "-")</f>
        <v>-</v>
      </c>
      <c r="AP25" s="1391" t="str">
        <f>IF(VLOOKUP(20,Data!$A:$Z,13,FALSE)="On", "X", "-")</f>
        <v>-</v>
      </c>
      <c r="AQ25" s="1391" t="str">
        <f>IF(VLOOKUP(21,Data!$A:$Z,13,FALSE)="On", "X", "-")</f>
        <v>-</v>
      </c>
      <c r="AR25" s="1391" t="str">
        <f>IF(VLOOKUP(22,Data!$A:$Z,13,FALSE)="On", "X", "-")</f>
        <v>-</v>
      </c>
      <c r="AS25" s="1391" t="s">
        <v>34</v>
      </c>
      <c r="AT25" s="1391" t="s">
        <v>34</v>
      </c>
      <c r="AU25" s="1391" t="s">
        <v>34</v>
      </c>
      <c r="AV25" s="1391" t="s">
        <v>34</v>
      </c>
      <c r="AW25" s="1391" t="s">
        <v>34</v>
      </c>
      <c r="AX25" s="1391" t="s">
        <v>34</v>
      </c>
      <c r="AY25" s="1391" t="s">
        <v>34</v>
      </c>
      <c r="AZ25" s="1391" t="str">
        <f>IF(VLOOKUP(30,Data!$A:$Z,13,FALSE)="On", "X", "-")</f>
        <v>-</v>
      </c>
      <c r="BA25" s="1398" t="str">
        <f>IF(VLOOKUP(31,Data!$A:$Z,13,FALSE)="On", "X", "-")</f>
        <v>-</v>
      </c>
      <c r="BB25" s="2503"/>
      <c r="BC25" s="2504"/>
      <c r="BD25" s="2491"/>
      <c r="BE25" s="2492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</row>
    <row r="26" spans="1:74" s="116" customFormat="1" ht="12" customHeight="1">
      <c r="A26" s="2477">
        <v>13</v>
      </c>
      <c r="B26" s="1382" t="s">
        <v>339</v>
      </c>
      <c r="C26" s="1367" t="s">
        <v>257</v>
      </c>
      <c r="D26" s="1367" t="s">
        <v>340</v>
      </c>
      <c r="E26" s="1367" t="s">
        <v>239</v>
      </c>
      <c r="F26" s="1367" t="s">
        <v>340</v>
      </c>
      <c r="G26" s="1367" t="s">
        <v>339</v>
      </c>
      <c r="H26" s="1367" t="s">
        <v>339</v>
      </c>
      <c r="I26" s="1367" t="s">
        <v>239</v>
      </c>
      <c r="J26" s="1367" t="s">
        <v>341</v>
      </c>
      <c r="K26" s="1367" t="s">
        <v>55</v>
      </c>
      <c r="L26" s="1367" t="s">
        <v>342</v>
      </c>
      <c r="M26" s="1367" t="s">
        <v>251</v>
      </c>
      <c r="N26" s="1367"/>
      <c r="O26" s="1367" t="s">
        <v>341</v>
      </c>
      <c r="P26" s="1367" t="s">
        <v>340</v>
      </c>
      <c r="Q26" s="1367" t="s">
        <v>343</v>
      </c>
      <c r="R26" s="1367" t="s">
        <v>344</v>
      </c>
      <c r="S26" s="1367" t="s">
        <v>343</v>
      </c>
      <c r="T26" s="1367" t="s">
        <v>257</v>
      </c>
      <c r="U26" s="1367" t="s">
        <v>341</v>
      </c>
      <c r="V26" s="1367"/>
      <c r="W26" s="1383">
        <v>1</v>
      </c>
      <c r="X26" s="1383">
        <v>2</v>
      </c>
      <c r="Y26" s="1383">
        <v>3</v>
      </c>
      <c r="Z26" s="1383">
        <v>4</v>
      </c>
      <c r="AA26" s="1383">
        <v>5</v>
      </c>
      <c r="AB26" s="1383">
        <v>6</v>
      </c>
      <c r="AC26" s="1383">
        <v>7</v>
      </c>
      <c r="AD26" s="1383">
        <v>8</v>
      </c>
      <c r="AE26" s="1383">
        <v>9</v>
      </c>
      <c r="AF26" s="1383">
        <v>10</v>
      </c>
      <c r="AG26" s="1383">
        <v>11</v>
      </c>
      <c r="AH26" s="1383">
        <v>12</v>
      </c>
      <c r="AI26" s="1383">
        <v>13</v>
      </c>
      <c r="AJ26" s="1383">
        <v>14</v>
      </c>
      <c r="AK26" s="1383">
        <v>15</v>
      </c>
      <c r="AL26" s="1383">
        <v>16</v>
      </c>
      <c r="AM26" s="1383">
        <v>17</v>
      </c>
      <c r="AN26" s="1383">
        <v>18</v>
      </c>
      <c r="AO26" s="1383">
        <v>19</v>
      </c>
      <c r="AP26" s="1383">
        <v>20</v>
      </c>
      <c r="AQ26" s="1383">
        <v>21</v>
      </c>
      <c r="AR26" s="1383">
        <v>22</v>
      </c>
      <c r="AS26" s="1383">
        <v>23</v>
      </c>
      <c r="AT26" s="1383">
        <v>24</v>
      </c>
      <c r="AU26" s="1383">
        <v>25</v>
      </c>
      <c r="AV26" s="1383">
        <v>26</v>
      </c>
      <c r="AW26" s="1383">
        <v>27</v>
      </c>
      <c r="AX26" s="1383">
        <v>28</v>
      </c>
      <c r="AY26" s="1383">
        <v>29</v>
      </c>
      <c r="AZ26" s="1383">
        <v>30</v>
      </c>
      <c r="BA26" s="1383">
        <v>31</v>
      </c>
      <c r="BB26" s="2497">
        <f>VLOOKUP("Plan",Data!$A:$Z,14,FALSE)</f>
        <v>4</v>
      </c>
      <c r="BC26" s="2498"/>
      <c r="BD26" s="2481" t="s">
        <v>655</v>
      </c>
      <c r="BE26" s="2482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1:74" s="116" customFormat="1" ht="12" customHeight="1" thickBot="1">
      <c r="A27" s="2496"/>
      <c r="B27" s="1384" t="str">
        <f>IF(VLOOKUP("Jan",Data!$A:$Z,14,FALSE)="On", "X", " ")</f>
        <v xml:space="preserve"> </v>
      </c>
      <c r="C27" s="1385" t="str">
        <f>IF(VLOOKUP("Feb",Data!$A:$Z,14,FALSE)="On", "X", " ")</f>
        <v xml:space="preserve"> </v>
      </c>
      <c r="D27" s="1385" t="str">
        <f>IF(VLOOKUP("Mar",Data!$A:$Z,14,FALSE)="On", "X", " ")</f>
        <v xml:space="preserve"> </v>
      </c>
      <c r="E27" s="1385" t="str">
        <f>IF(VLOOKUP("Apr",Data!$A:$Z,14,FALSE)="On", "X", " ")</f>
        <v xml:space="preserve"> </v>
      </c>
      <c r="F27" s="1385" t="str">
        <f>IF(VLOOKUP("May",Data!$A:$Z,14,FALSE)="On", "X", " ")</f>
        <v xml:space="preserve"> </v>
      </c>
      <c r="G27" s="1385" t="str">
        <f>IF(VLOOKUP("Jun",Data!$A:$Z,14,FALSE)="On", "X", " ")</f>
        <v xml:space="preserve"> </v>
      </c>
      <c r="H27" s="1385" t="str">
        <f>IF(VLOOKUP("Jul",Data!$A:$Z,14,FALSE)="On", "X", " ")</f>
        <v xml:space="preserve"> </v>
      </c>
      <c r="I27" s="1385" t="str">
        <f>IF(VLOOKUP("Aug",Data!$A:$Z,14,FALSE)="On", "X", " ")</f>
        <v xml:space="preserve"> </v>
      </c>
      <c r="J27" s="1385" t="str">
        <f>IF(VLOOKUP("Sep",Data!$A:$Z,14,FALSE)="On", "X", " ")</f>
        <v xml:space="preserve"> </v>
      </c>
      <c r="K27" s="1385" t="str">
        <f>IF(VLOOKUP("Oct",Data!$A:$Z,14,FALSE)="On", "X", " ")</f>
        <v xml:space="preserve"> </v>
      </c>
      <c r="L27" s="1385" t="str">
        <f>IF(VLOOKUP("Nov",Data!$A:$Z,14,FALSE)="On", "X", " ")</f>
        <v xml:space="preserve"> </v>
      </c>
      <c r="M27" s="1385" t="s">
        <v>34</v>
      </c>
      <c r="N27" s="1386" t="s">
        <v>34</v>
      </c>
      <c r="O27" s="1385" t="s">
        <v>34</v>
      </c>
      <c r="P27" s="1385" t="s">
        <v>34</v>
      </c>
      <c r="Q27" s="1385" t="s">
        <v>34</v>
      </c>
      <c r="R27" s="1385" t="s">
        <v>34</v>
      </c>
      <c r="S27" s="1385" t="s">
        <v>34</v>
      </c>
      <c r="T27" s="1385" t="s">
        <v>34</v>
      </c>
      <c r="U27" s="1385" t="s">
        <v>34</v>
      </c>
      <c r="V27" s="1387"/>
      <c r="W27" s="1395" t="str">
        <f>IF(VLOOKUP(1,Data!$A:$Z,14,FALSE)="On", "X", "-")</f>
        <v>-</v>
      </c>
      <c r="X27" s="1395" t="str">
        <f>IF(VLOOKUP(2,Data!$A:$Z,14,FALSE)="On", "X", "-")</f>
        <v>-</v>
      </c>
      <c r="Y27" s="1395" t="str">
        <f>IF(VLOOKUP(3,Data!$A:$Z,14,FALSE)="On", "X", "-")</f>
        <v>-</v>
      </c>
      <c r="Z27" s="1395" t="str">
        <f>IF(VLOOKUP(4,Data!$A:$Z,14,FALSE)="On", "X", "-")</f>
        <v>-</v>
      </c>
      <c r="AA27" s="1395" t="str">
        <f>IF(VLOOKUP(5,Data!$A:$Z,14,FALSE)="On", "X", "-")</f>
        <v>-</v>
      </c>
      <c r="AB27" s="1395" t="str">
        <f>IF(VLOOKUP(6,Data!$A:$Z,14,FALSE)="On", "X", "-")</f>
        <v>-</v>
      </c>
      <c r="AC27" s="1395" t="str">
        <f>IF(VLOOKUP(7,Data!$A:$Z,14,FALSE)="On", "X", "-")</f>
        <v>-</v>
      </c>
      <c r="AD27" s="1395" t="str">
        <f>IF(VLOOKUP(8,Data!$A:$Z,14,FALSE)="On", "X", "-")</f>
        <v>-</v>
      </c>
      <c r="AE27" s="1395" t="str">
        <f>IF(VLOOKUP(9,Data!$A:$Z,14,FALSE)="On", "X", "-")</f>
        <v>-</v>
      </c>
      <c r="AF27" s="1395" t="str">
        <f>IF(VLOOKUP(10,Data!$A:$Z,14,FALSE)="On", "X", "-")</f>
        <v>-</v>
      </c>
      <c r="AG27" s="1395" t="str">
        <f>IF(VLOOKUP(11,Data!$A:$Z,14,FALSE)="On", "X", "-")</f>
        <v>-</v>
      </c>
      <c r="AH27" s="1395" t="str">
        <f>IF(VLOOKUP(12,Data!$A:$Z,14,FALSE)="On", "X", "-")</f>
        <v>-</v>
      </c>
      <c r="AI27" s="1395" t="str">
        <f>IF(VLOOKUP(13,Data!$A:$Z,14,FALSE)="On", "X", "-")</f>
        <v>-</v>
      </c>
      <c r="AJ27" s="1395" t="str">
        <f>IF(VLOOKUP(14,Data!$A:$Z,14,FALSE)="On", "X", "-")</f>
        <v>-</v>
      </c>
      <c r="AK27" s="1395" t="str">
        <f>IF(VLOOKUP(15,Data!$A:$Z,14,FALSE)="On", "X", "-")</f>
        <v>-</v>
      </c>
      <c r="AL27" s="1395" t="str">
        <f>IF(VLOOKUP(16,Data!$A:$Z,14,FALSE)="On", "X", "-")</f>
        <v>-</v>
      </c>
      <c r="AM27" s="1395" t="str">
        <f>IF(VLOOKUP(17,Data!$A:$Z,14,FALSE)="On", "X", "-")</f>
        <v>-</v>
      </c>
      <c r="AN27" s="1395" t="str">
        <f>IF(VLOOKUP(18,Data!$A:$Z,14,FALSE)="On", "X", "-")</f>
        <v>-</v>
      </c>
      <c r="AO27" s="1395" t="str">
        <f>IF(VLOOKUP(19,Data!$A:$Z,14,FALSE)="On", "X", "-")</f>
        <v>-</v>
      </c>
      <c r="AP27" s="1395" t="str">
        <f>IF(VLOOKUP(20,Data!$A:$Z,14,FALSE)="On", "X", "-")</f>
        <v>-</v>
      </c>
      <c r="AQ27" s="1395" t="str">
        <f>IF(VLOOKUP(21,Data!$A:$Z,14,FALSE)="On", "X", "-")</f>
        <v>-</v>
      </c>
      <c r="AR27" s="1395" t="str">
        <f>IF(VLOOKUP(22,Data!$A:$Z,14,FALSE)="On", "X", "-")</f>
        <v>-</v>
      </c>
      <c r="AS27" s="1395" t="str">
        <f>IF(VLOOKUP(23,Data!$A:$Z,14,FALSE)="On", "X", "-")</f>
        <v>-</v>
      </c>
      <c r="AT27" s="1395" t="str">
        <f>IF(VLOOKUP(24,Data!$A:$Z,14,FALSE)="On", "X", "-")</f>
        <v>-</v>
      </c>
      <c r="AU27" s="1395" t="s">
        <v>34</v>
      </c>
      <c r="AV27" s="1395" t="str">
        <f>IF(VLOOKUP(26,Data!$A:$Z,14,FALSE)="On", "X", "-")</f>
        <v>-</v>
      </c>
      <c r="AW27" s="1395" t="str">
        <f>IF(VLOOKUP(27,Data!$A:$Z,14,FALSE)="On", "X", "-")</f>
        <v>-</v>
      </c>
      <c r="AX27" s="1395" t="str">
        <f>IF(VLOOKUP(28,Data!$A:$Z,14,FALSE)="On", "X", "-")</f>
        <v>-</v>
      </c>
      <c r="AY27" s="1395" t="str">
        <f>IF(VLOOKUP(29,Data!$A:$Z,14,FALSE)="On", "X", "-")</f>
        <v>-</v>
      </c>
      <c r="AZ27" s="1395" t="str">
        <f>IF(VLOOKUP(30,Data!$A:$Z,14,FALSE)="On", "X", "-")</f>
        <v>-</v>
      </c>
      <c r="BA27" s="1396" t="str">
        <f>IF(VLOOKUP(31,Data!$A:$Z,14,FALSE)="On", "X", "-")</f>
        <v>-</v>
      </c>
      <c r="BB27" s="2499"/>
      <c r="BC27" s="2500"/>
      <c r="BD27" s="2481"/>
      <c r="BE27" s="2482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1:74" s="116" customFormat="1" ht="12" customHeight="1">
      <c r="A28" s="2493">
        <v>14</v>
      </c>
      <c r="B28" s="1381" t="s">
        <v>339</v>
      </c>
      <c r="C28" s="1346" t="s">
        <v>257</v>
      </c>
      <c r="D28" s="1346" t="s">
        <v>340</v>
      </c>
      <c r="E28" s="1346" t="s">
        <v>239</v>
      </c>
      <c r="F28" s="1346" t="s">
        <v>340</v>
      </c>
      <c r="G28" s="1346" t="s">
        <v>339</v>
      </c>
      <c r="H28" s="1346" t="s">
        <v>339</v>
      </c>
      <c r="I28" s="1346" t="s">
        <v>239</v>
      </c>
      <c r="J28" s="1346" t="s">
        <v>341</v>
      </c>
      <c r="K28" s="1346" t="s">
        <v>55</v>
      </c>
      <c r="L28" s="1346" t="s">
        <v>342</v>
      </c>
      <c r="M28" s="1346" t="s">
        <v>251</v>
      </c>
      <c r="N28" s="1346"/>
      <c r="O28" s="1346" t="s">
        <v>341</v>
      </c>
      <c r="P28" s="1346" t="s">
        <v>340</v>
      </c>
      <c r="Q28" s="1346" t="s">
        <v>343</v>
      </c>
      <c r="R28" s="1346" t="s">
        <v>344</v>
      </c>
      <c r="S28" s="1346" t="s">
        <v>343</v>
      </c>
      <c r="T28" s="1346" t="s">
        <v>257</v>
      </c>
      <c r="U28" s="1346" t="s">
        <v>341</v>
      </c>
      <c r="V28" s="1346"/>
      <c r="W28" s="1363">
        <v>1</v>
      </c>
      <c r="X28" s="1363">
        <v>2</v>
      </c>
      <c r="Y28" s="1363">
        <v>3</v>
      </c>
      <c r="Z28" s="1363">
        <v>4</v>
      </c>
      <c r="AA28" s="1363">
        <v>5</v>
      </c>
      <c r="AB28" s="1363">
        <v>6</v>
      </c>
      <c r="AC28" s="1363">
        <v>7</v>
      </c>
      <c r="AD28" s="1363">
        <v>8</v>
      </c>
      <c r="AE28" s="1363">
        <v>9</v>
      </c>
      <c r="AF28" s="1363">
        <v>10</v>
      </c>
      <c r="AG28" s="1363">
        <v>11</v>
      </c>
      <c r="AH28" s="1363">
        <v>12</v>
      </c>
      <c r="AI28" s="1363">
        <v>13</v>
      </c>
      <c r="AJ28" s="1363">
        <v>14</v>
      </c>
      <c r="AK28" s="1363">
        <v>15</v>
      </c>
      <c r="AL28" s="1363">
        <v>16</v>
      </c>
      <c r="AM28" s="1363">
        <v>17</v>
      </c>
      <c r="AN28" s="1363">
        <v>18</v>
      </c>
      <c r="AO28" s="1363">
        <v>19</v>
      </c>
      <c r="AP28" s="1363">
        <v>20</v>
      </c>
      <c r="AQ28" s="1363">
        <v>21</v>
      </c>
      <c r="AR28" s="1363">
        <v>22</v>
      </c>
      <c r="AS28" s="1363">
        <v>23</v>
      </c>
      <c r="AT28" s="1363">
        <v>24</v>
      </c>
      <c r="AU28" s="1363">
        <v>25</v>
      </c>
      <c r="AV28" s="1363">
        <v>26</v>
      </c>
      <c r="AW28" s="1363">
        <v>27</v>
      </c>
      <c r="AX28" s="1363">
        <v>28</v>
      </c>
      <c r="AY28" s="1363">
        <v>29</v>
      </c>
      <c r="AZ28" s="1363">
        <v>30</v>
      </c>
      <c r="BA28" s="1363">
        <v>31</v>
      </c>
      <c r="BB28" s="2501">
        <f>VLOOKUP("Plan",Data!$A:$Z,15,FALSE)</f>
        <v>1</v>
      </c>
      <c r="BC28" s="2502"/>
      <c r="BD28" s="2481"/>
      <c r="BE28" s="2482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1:74" s="116" customFormat="1" ht="12" customHeight="1" thickBot="1">
      <c r="A29" s="2480"/>
      <c r="B29" s="1397" t="str">
        <f>IF(VLOOKUP("Jan",Data!$A:$Z,15,FALSE)="On", "X", " ")</f>
        <v xml:space="preserve"> </v>
      </c>
      <c r="C29" s="1345" t="str">
        <f>IF(VLOOKUP("Feb",Data!$A:$Z,15,FALSE)="On", "X", " ")</f>
        <v xml:space="preserve"> </v>
      </c>
      <c r="D29" s="1345" t="str">
        <f>IF(VLOOKUP("Mar",Data!$A:$Z,15,FALSE)="On", "X", " ")</f>
        <v xml:space="preserve"> </v>
      </c>
      <c r="E29" s="1345" t="str">
        <f>IF(VLOOKUP("Apr",Data!$A:$Z,15,FALSE)="On", "X", " ")</f>
        <v xml:space="preserve"> </v>
      </c>
      <c r="F29" s="1345" t="str">
        <f>IF(VLOOKUP("May",Data!$A:$Z,15,FALSE)="On", "X", " ")</f>
        <v xml:space="preserve"> </v>
      </c>
      <c r="G29" s="1345" t="str">
        <f>IF(VLOOKUP("Jun",Data!$A:$Z,15,FALSE)="On", "X", " ")</f>
        <v xml:space="preserve"> </v>
      </c>
      <c r="H29" s="1345" t="str">
        <f>IF(VLOOKUP("Jul",Data!$A:$Z,15,FALSE)="On", "X", " ")</f>
        <v xml:space="preserve"> </v>
      </c>
      <c r="I29" s="1345" t="str">
        <f>IF(VLOOKUP("Aug",Data!$A:$Z,15,FALSE)="On", "X", " ")</f>
        <v xml:space="preserve"> </v>
      </c>
      <c r="J29" s="1345" t="str">
        <f>IF(VLOOKUP("Sep",Data!$A:$Z,15,FALSE)="On", "X", " ")</f>
        <v xml:space="preserve"> </v>
      </c>
      <c r="K29" s="1345" t="str">
        <f>IF(VLOOKUP("Oct",Data!$A:$Z,15,FALSE)="On", "X", " ")</f>
        <v xml:space="preserve"> </v>
      </c>
      <c r="L29" s="1345" t="str">
        <f>IF(VLOOKUP("Nov",Data!$A:$Z,15,FALSE)="On", "X", " ")</f>
        <v xml:space="preserve"> </v>
      </c>
      <c r="M29" s="1345" t="str">
        <f>IF(VLOOKUP("Dec",Data!$A:$Z,15,FALSE)="On", "X", " ")</f>
        <v xml:space="preserve"> </v>
      </c>
      <c r="N29" s="1346"/>
      <c r="O29" s="1345" t="str">
        <f>IF(VLOOKUP("Sun",Data!$A:$Z,15,FALSE)="On", "X", " ")</f>
        <v xml:space="preserve"> </v>
      </c>
      <c r="P29" s="1345" t="str">
        <f>IF(VLOOKUP("Mon",Data!$A:$Z,15,FALSE)="On", "X", " ")</f>
        <v xml:space="preserve"> </v>
      </c>
      <c r="Q29" s="1345" t="str">
        <f>IF(VLOOKUP("Tue",Data!$A:$Z,15,FALSE)="On", "X", " ")</f>
        <v xml:space="preserve"> </v>
      </c>
      <c r="R29" s="1345" t="str">
        <f>IF(VLOOKUP("Wed",Data!$A:$Z,15,FALSE)="On", "X", " ")</f>
        <v xml:space="preserve"> </v>
      </c>
      <c r="S29" s="1345" t="str">
        <f>IF(VLOOKUP("Thu",Data!$A:$Z,15,FALSE)="On", "X", " ")</f>
        <v xml:space="preserve"> </v>
      </c>
      <c r="T29" s="1345" t="str">
        <f>IF(VLOOKUP("Fri",Data!$A:$Z,15,FALSE)="On", "X", " ")</f>
        <v xml:space="preserve"> </v>
      </c>
      <c r="U29" s="1345" t="str">
        <f>IF(VLOOKUP("Sat",Data!$A:$Z,15,FALSE)="On", "X", " ")</f>
        <v xml:space="preserve"> </v>
      </c>
      <c r="V29" s="1364"/>
      <c r="W29" s="1391" t="str">
        <f>IF(VLOOKUP(1,Data!$A:$Z,15,FALSE)="On", "X", "-")</f>
        <v>-</v>
      </c>
      <c r="X29" s="1391" t="str">
        <f>IF(VLOOKUP(2,Data!$A:$Z,15,FALSE)="On", "X", "-")</f>
        <v>-</v>
      </c>
      <c r="Y29" s="1391" t="str">
        <f>IF(VLOOKUP(3,Data!$A:$Z,15,FALSE)="On", "X", "-")</f>
        <v>-</v>
      </c>
      <c r="Z29" s="1391" t="str">
        <f>IF(VLOOKUP(4,Data!$A:$Z,15,FALSE)="On", "X", "-")</f>
        <v>-</v>
      </c>
      <c r="AA29" s="1391" t="str">
        <f>IF(VLOOKUP(5,Data!$A:$Z,15,FALSE)="On", "X", "-")</f>
        <v>-</v>
      </c>
      <c r="AB29" s="1391" t="str">
        <f>IF(VLOOKUP(6,Data!$A:$Z,15,FALSE)="On", "X", "-")</f>
        <v>-</v>
      </c>
      <c r="AC29" s="1391" t="str">
        <f>IF(VLOOKUP(7,Data!$A:$Z,15,FALSE)="On", "X", "-")</f>
        <v>-</v>
      </c>
      <c r="AD29" s="1391" t="str">
        <f>IF(VLOOKUP(8,Data!$A:$Z,15,FALSE)="On", "X", "-")</f>
        <v>-</v>
      </c>
      <c r="AE29" s="1391" t="str">
        <f>IF(VLOOKUP(9,Data!$A:$Z,15,FALSE)="On", "X", "-")</f>
        <v>-</v>
      </c>
      <c r="AF29" s="1391" t="str">
        <f>IF(VLOOKUP(10,Data!$A:$Z,15,FALSE)="On", "X", "-")</f>
        <v>-</v>
      </c>
      <c r="AG29" s="1391" t="str">
        <f>IF(VLOOKUP(11,Data!$A:$Z,15,FALSE)="On", "X", "-")</f>
        <v>-</v>
      </c>
      <c r="AH29" s="1391" t="str">
        <f>IF(VLOOKUP(12,Data!$A:$Z,15,FALSE)="On", "X", "-")</f>
        <v>-</v>
      </c>
      <c r="AI29" s="1391" t="str">
        <f>IF(VLOOKUP(13,Data!$A:$Z,15,FALSE)="On", "X", "-")</f>
        <v>-</v>
      </c>
      <c r="AJ29" s="1391" t="str">
        <f>IF(VLOOKUP(14,Data!$A:$Z,15,FALSE)="On", "X", "-")</f>
        <v>-</v>
      </c>
      <c r="AK29" s="1391" t="str">
        <f>IF(VLOOKUP(15,Data!$A:$Z,15,FALSE)="On", "X", "-")</f>
        <v>-</v>
      </c>
      <c r="AL29" s="1391" t="str">
        <f>IF(VLOOKUP(16,Data!$A:$Z,15,FALSE)="On", "X", "-")</f>
        <v>-</v>
      </c>
      <c r="AM29" s="1391" t="str">
        <f>IF(VLOOKUP(17,Data!$A:$Z,15,FALSE)="On", "X", "-")</f>
        <v>-</v>
      </c>
      <c r="AN29" s="1391" t="str">
        <f>IF(VLOOKUP(18,Data!$A:$Z,15,FALSE)="On", "X", "-")</f>
        <v>-</v>
      </c>
      <c r="AO29" s="1391" t="str">
        <f>IF(VLOOKUP(19,Data!$A:$Z,15,FALSE)="On", "X", "-")</f>
        <v>-</v>
      </c>
      <c r="AP29" s="1391" t="str">
        <f>IF(VLOOKUP(20,Data!$A:$Z,15,FALSE)="On", "X", "-")</f>
        <v>-</v>
      </c>
      <c r="AQ29" s="1391" t="str">
        <f>IF(VLOOKUP(21,Data!$A:$Z,15,FALSE)="On", "X", "-")</f>
        <v>-</v>
      </c>
      <c r="AR29" s="1391" t="str">
        <f>IF(VLOOKUP(22,Data!$A:$Z,15,FALSE)="On", "X", "-")</f>
        <v>-</v>
      </c>
      <c r="AS29" s="1391" t="str">
        <f>IF(VLOOKUP(23,Data!$A:$Z,15,FALSE)="On", "X", "-")</f>
        <v>-</v>
      </c>
      <c r="AT29" s="1391" t="str">
        <f>IF(VLOOKUP(24,Data!$A:$Z,15,FALSE)="On", "X", "-")</f>
        <v>-</v>
      </c>
      <c r="AU29" s="1391" t="str">
        <f>IF(VLOOKUP(25,Data!$A:$Z,15,FALSE)="On", "X", "-")</f>
        <v>-</v>
      </c>
      <c r="AV29" s="1391" t="str">
        <f>IF(VLOOKUP(26,Data!$A:$Z,15,FALSE)="On", "X", "-")</f>
        <v>-</v>
      </c>
      <c r="AW29" s="1391" t="str">
        <f>IF(VLOOKUP(27,Data!$A:$Z,15,FALSE)="On", "X", "-")</f>
        <v>-</v>
      </c>
      <c r="AX29" s="1391" t="str">
        <f>IF(VLOOKUP(28,Data!$A:$Z,15,FALSE)="On", "X", "-")</f>
        <v>-</v>
      </c>
      <c r="AY29" s="1391" t="str">
        <f>IF(VLOOKUP(29,Data!$A:$Z,15,FALSE)="On", "X", "-")</f>
        <v>-</v>
      </c>
      <c r="AZ29" s="1391" t="str">
        <f>IF(VLOOKUP(30,Data!$A:$Z,15,FALSE)="On", "X", "-")</f>
        <v>-</v>
      </c>
      <c r="BA29" s="1398" t="str">
        <f>IF(VLOOKUP(31,Data!$A:$Z,15,FALSE)="On", "X", "-")</f>
        <v>-</v>
      </c>
      <c r="BB29" s="2503"/>
      <c r="BC29" s="2504"/>
      <c r="BD29" s="2483"/>
      <c r="BE29" s="2484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</row>
    <row r="30" spans="1:74" s="116" customFormat="1" ht="12" customHeight="1">
      <c r="A30" s="2477">
        <v>15</v>
      </c>
      <c r="B30" s="1382" t="s">
        <v>339</v>
      </c>
      <c r="C30" s="1367" t="s">
        <v>257</v>
      </c>
      <c r="D30" s="1367" t="s">
        <v>340</v>
      </c>
      <c r="E30" s="1367" t="s">
        <v>239</v>
      </c>
      <c r="F30" s="1367" t="s">
        <v>340</v>
      </c>
      <c r="G30" s="1367" t="s">
        <v>339</v>
      </c>
      <c r="H30" s="1367" t="s">
        <v>339</v>
      </c>
      <c r="I30" s="1367" t="s">
        <v>239</v>
      </c>
      <c r="J30" s="1367" t="s">
        <v>341</v>
      </c>
      <c r="K30" s="1367" t="s">
        <v>55</v>
      </c>
      <c r="L30" s="1367" t="s">
        <v>342</v>
      </c>
      <c r="M30" s="1367" t="s">
        <v>251</v>
      </c>
      <c r="N30" s="1367"/>
      <c r="O30" s="1367" t="s">
        <v>341</v>
      </c>
      <c r="P30" s="1367" t="s">
        <v>340</v>
      </c>
      <c r="Q30" s="1367" t="s">
        <v>343</v>
      </c>
      <c r="R30" s="1367" t="s">
        <v>344</v>
      </c>
      <c r="S30" s="1367" t="s">
        <v>343</v>
      </c>
      <c r="T30" s="1367" t="s">
        <v>257</v>
      </c>
      <c r="U30" s="1367" t="s">
        <v>341</v>
      </c>
      <c r="V30" s="1367"/>
      <c r="W30" s="1383">
        <v>1</v>
      </c>
      <c r="X30" s="1383">
        <v>2</v>
      </c>
      <c r="Y30" s="1383">
        <v>3</v>
      </c>
      <c r="Z30" s="1383">
        <v>4</v>
      </c>
      <c r="AA30" s="1383">
        <v>5</v>
      </c>
      <c r="AB30" s="1383">
        <v>6</v>
      </c>
      <c r="AC30" s="1383">
        <v>7</v>
      </c>
      <c r="AD30" s="1383">
        <v>8</v>
      </c>
      <c r="AE30" s="1383">
        <v>9</v>
      </c>
      <c r="AF30" s="1383">
        <v>10</v>
      </c>
      <c r="AG30" s="1383">
        <v>11</v>
      </c>
      <c r="AH30" s="1383">
        <v>12</v>
      </c>
      <c r="AI30" s="1383">
        <v>13</v>
      </c>
      <c r="AJ30" s="1383">
        <v>14</v>
      </c>
      <c r="AK30" s="1383">
        <v>15</v>
      </c>
      <c r="AL30" s="1383">
        <v>16</v>
      </c>
      <c r="AM30" s="1383">
        <v>17</v>
      </c>
      <c r="AN30" s="1383">
        <v>18</v>
      </c>
      <c r="AO30" s="1383">
        <v>19</v>
      </c>
      <c r="AP30" s="1383">
        <v>20</v>
      </c>
      <c r="AQ30" s="1383">
        <v>21</v>
      </c>
      <c r="AR30" s="1383">
        <v>22</v>
      </c>
      <c r="AS30" s="1383">
        <v>23</v>
      </c>
      <c r="AT30" s="1383">
        <v>24</v>
      </c>
      <c r="AU30" s="1383">
        <v>25</v>
      </c>
      <c r="AV30" s="1383">
        <v>26</v>
      </c>
      <c r="AW30" s="1383">
        <v>27</v>
      </c>
      <c r="AX30" s="1383">
        <v>28</v>
      </c>
      <c r="AY30" s="1383">
        <v>29</v>
      </c>
      <c r="AZ30" s="1383">
        <v>30</v>
      </c>
      <c r="BA30" s="1383">
        <v>31</v>
      </c>
      <c r="BB30" s="2497">
        <f>VLOOKUP("Plan",Data!$A:$Z,16,FALSE)</f>
        <v>1</v>
      </c>
      <c r="BC30" s="2498"/>
      <c r="BD30" s="2485">
        <f>Data!B118</f>
        <v>0</v>
      </c>
      <c r="BE30" s="2486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</row>
    <row r="31" spans="1:74" s="116" customFormat="1" ht="12" customHeight="1" thickBot="1">
      <c r="A31" s="2496"/>
      <c r="B31" s="1384" t="str">
        <f>IF(VLOOKUP("Jan",Data!$A:$Z,16,FALSE)="On", "X", " ")</f>
        <v xml:space="preserve"> </v>
      </c>
      <c r="C31" s="1385" t="str">
        <f>IF(VLOOKUP("Feb",Data!$A:$Z,16,FALSE)="On", "X", " ")</f>
        <v xml:space="preserve"> </v>
      </c>
      <c r="D31" s="1385" t="str">
        <f>IF(VLOOKUP("Mar",Data!$A:$Z,16,FALSE)="On", "X", " ")</f>
        <v xml:space="preserve"> </v>
      </c>
      <c r="E31" s="1385" t="str">
        <f>IF(VLOOKUP("Apr",Data!$A:$Z,16,FALSE)="On", "X", " ")</f>
        <v xml:space="preserve"> </v>
      </c>
      <c r="F31" s="1385" t="str">
        <f>IF(VLOOKUP("May",Data!$A:$Z,16,FALSE)="On", "X", " ")</f>
        <v xml:space="preserve"> </v>
      </c>
      <c r="G31" s="1385" t="str">
        <f>IF(VLOOKUP("Jun",Data!$A:$Z,16,FALSE)="On", "X", " ")</f>
        <v xml:space="preserve"> </v>
      </c>
      <c r="H31" s="1385" t="str">
        <f>IF(VLOOKUP("Jul",Data!$A:$Z,16,FALSE)="On", "X", " ")</f>
        <v xml:space="preserve"> </v>
      </c>
      <c r="I31" s="1385" t="str">
        <f>IF(VLOOKUP("Aug",Data!$A:$Z,16,FALSE)="On", "X", " ")</f>
        <v xml:space="preserve"> </v>
      </c>
      <c r="J31" s="1385" t="str">
        <f>IF(VLOOKUP("Sep",Data!$A:$Z,16,FALSE)="On", "X", " ")</f>
        <v xml:space="preserve"> </v>
      </c>
      <c r="K31" s="1385" t="str">
        <f>IF(VLOOKUP("Oct",Data!$A:$Z,16,FALSE)="On", "X", " ")</f>
        <v xml:space="preserve"> </v>
      </c>
      <c r="L31" s="1385" t="str">
        <f>IF(VLOOKUP("Nov",Data!$A:$Z,16,FALSE)="On", "X", " ")</f>
        <v xml:space="preserve"> </v>
      </c>
      <c r="M31" s="1385" t="str">
        <f>IF(VLOOKUP("Dec",Data!$A:$Z,16,FALSE)="On", "X", " ")</f>
        <v xml:space="preserve"> </v>
      </c>
      <c r="N31" s="1386"/>
      <c r="O31" s="1385" t="str">
        <f>IF(VLOOKUP("Sun",Data!$A:$Z,16,FALSE)="On", "X", " ")</f>
        <v xml:space="preserve"> </v>
      </c>
      <c r="P31" s="1385" t="str">
        <f>IF(VLOOKUP("Mon",Data!$A:$Z,16,FALSE)="On", "X", " ")</f>
        <v xml:space="preserve"> </v>
      </c>
      <c r="Q31" s="1385" t="str">
        <f>IF(VLOOKUP("Tue",Data!$A:$Z,16,FALSE)="On", "X", " ")</f>
        <v xml:space="preserve"> </v>
      </c>
      <c r="R31" s="1385" t="str">
        <f>IF(VLOOKUP("Wed",Data!$A:$Z,16,FALSE)="On", "X", " ")</f>
        <v xml:space="preserve"> </v>
      </c>
      <c r="S31" s="1385" t="str">
        <f>IF(VLOOKUP("Thu",Data!$A:$Z,16,FALSE)="On", "X", " ")</f>
        <v xml:space="preserve"> </v>
      </c>
      <c r="T31" s="1385" t="str">
        <f>IF(VLOOKUP("Fri",Data!$A:$Z,16,FALSE)="On", "X", " ")</f>
        <v xml:space="preserve"> </v>
      </c>
      <c r="U31" s="1385" t="str">
        <f>IF(VLOOKUP("Sat",Data!$A:$Z,16,FALSE)="On", "X", " ")</f>
        <v xml:space="preserve"> </v>
      </c>
      <c r="V31" s="1387"/>
      <c r="W31" s="1395" t="str">
        <f>IF(VLOOKUP(1,Data!$A:$Z,16,FALSE)="On", "X", "-")</f>
        <v>-</v>
      </c>
      <c r="X31" s="1395" t="str">
        <f>IF(VLOOKUP(2,Data!$A:$Z,16,FALSE)="On", "X", "-")</f>
        <v>-</v>
      </c>
      <c r="Y31" s="1395" t="str">
        <f>IF(VLOOKUP(3,Data!$A:$Z,16,FALSE)="On", "X", "-")</f>
        <v>-</v>
      </c>
      <c r="Z31" s="1395" t="str">
        <f>IF(VLOOKUP(4,Data!$A:$Z,16,FALSE)="On", "X", "-")</f>
        <v>-</v>
      </c>
      <c r="AA31" s="1395" t="str">
        <f>IF(VLOOKUP(5,Data!$A:$Z,16,FALSE)="On", "X", "-")</f>
        <v>-</v>
      </c>
      <c r="AB31" s="1395" t="str">
        <f>IF(VLOOKUP(6,Data!$A:$Z,16,FALSE)="On", "X", "-")</f>
        <v>-</v>
      </c>
      <c r="AC31" s="1395" t="str">
        <f>IF(VLOOKUP(7,Data!$A:$Z,16,FALSE)="On", "X", "-")</f>
        <v>-</v>
      </c>
      <c r="AD31" s="1395" t="str">
        <f>IF(VLOOKUP(8,Data!$A:$Z,16,FALSE)="On", "X", "-")</f>
        <v>-</v>
      </c>
      <c r="AE31" s="1395" t="str">
        <f>IF(VLOOKUP(9,Data!$A:$Z,16,FALSE)="On", "X", "-")</f>
        <v>-</v>
      </c>
      <c r="AF31" s="1395" t="str">
        <f>IF(VLOOKUP(10,Data!$A:$Z,16,FALSE)="On", "X", "-")</f>
        <v>-</v>
      </c>
      <c r="AG31" s="1395" t="str">
        <f>IF(VLOOKUP(11,Data!$A:$Z,16,FALSE)="On", "X", "-")</f>
        <v>-</v>
      </c>
      <c r="AH31" s="1395" t="str">
        <f>IF(VLOOKUP(12,Data!$A:$Z,16,FALSE)="On", "X", "-")</f>
        <v>-</v>
      </c>
      <c r="AI31" s="1395" t="str">
        <f>IF(VLOOKUP(13,Data!$A:$Z,16,FALSE)="On", "X", "-")</f>
        <v>-</v>
      </c>
      <c r="AJ31" s="1395" t="str">
        <f>IF(VLOOKUP(14,Data!$A:$Z,16,FALSE)="On", "X", "-")</f>
        <v>-</v>
      </c>
      <c r="AK31" s="1395" t="str">
        <f>IF(VLOOKUP(15,Data!$A:$Z,16,FALSE)="On", "X", "-")</f>
        <v>-</v>
      </c>
      <c r="AL31" s="1395" t="str">
        <f>IF(VLOOKUP(16,Data!$A:$Z,16,FALSE)="On", "X", "-")</f>
        <v>-</v>
      </c>
      <c r="AM31" s="1395" t="str">
        <f>IF(VLOOKUP(17,Data!$A:$Z,16,FALSE)="On", "X", "-")</f>
        <v>-</v>
      </c>
      <c r="AN31" s="1395" t="str">
        <f>IF(VLOOKUP(18,Data!$A:$Z,16,FALSE)="On", "X", "-")</f>
        <v>-</v>
      </c>
      <c r="AO31" s="1395" t="str">
        <f>IF(VLOOKUP(19,Data!$A:$Z,16,FALSE)="On", "X", "-")</f>
        <v>-</v>
      </c>
      <c r="AP31" s="1395" t="str">
        <f>IF(VLOOKUP(20,Data!$A:$Z,16,FALSE)="On", "X", "-")</f>
        <v>-</v>
      </c>
      <c r="AQ31" s="1395" t="str">
        <f>IF(VLOOKUP(21,Data!$A:$Z,16,FALSE)="On", "X", "-")</f>
        <v>-</v>
      </c>
      <c r="AR31" s="1395" t="str">
        <f>IF(VLOOKUP(22,Data!$A:$Z,16,FALSE)="On", "X", "-")</f>
        <v>-</v>
      </c>
      <c r="AS31" s="1395" t="str">
        <f>IF(VLOOKUP(23,Data!$A:$Z,16,FALSE)="On", "X", "-")</f>
        <v>-</v>
      </c>
      <c r="AT31" s="1395" t="str">
        <f>IF(VLOOKUP(24,Data!$A:$Z,16,FALSE)="On", "X", "-")</f>
        <v>-</v>
      </c>
      <c r="AU31" s="1395" t="str">
        <f>IF(VLOOKUP(25,Data!$A:$Z,16,FALSE)="On", "X", "-")</f>
        <v>-</v>
      </c>
      <c r="AV31" s="1395" t="str">
        <f>IF(VLOOKUP(26,Data!$A:$Z,16,FALSE)="On", "X", "-")</f>
        <v>-</v>
      </c>
      <c r="AW31" s="1395" t="str">
        <f>IF(VLOOKUP(27,Data!$A:$Z,16,FALSE)="On", "X", "-")</f>
        <v>-</v>
      </c>
      <c r="AX31" s="1395" t="str">
        <f>IF(VLOOKUP(28,Data!$A:$Z,16,FALSE)="On", "X", "-")</f>
        <v>-</v>
      </c>
      <c r="AY31" s="1395" t="str">
        <f>IF(VLOOKUP(29,Data!$A:$Z,16,FALSE)="On", "X", "-")</f>
        <v>-</v>
      </c>
      <c r="AZ31" s="1395" t="str">
        <f>IF(VLOOKUP(30,Data!$A:$Z,16,FALSE)="On", "X", "-")</f>
        <v>-</v>
      </c>
      <c r="BA31" s="1396" t="str">
        <f>IF(VLOOKUP(31,Data!$A:$Z,16,FALSE)="On", "X", "-")</f>
        <v>-</v>
      </c>
      <c r="BB31" s="2499"/>
      <c r="BC31" s="2500"/>
      <c r="BD31" s="2487"/>
      <c r="BE31" s="2488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</row>
    <row r="32" spans="1:74" s="116" customFormat="1" ht="12" customHeight="1">
      <c r="A32" s="2493">
        <v>16</v>
      </c>
      <c r="B32" s="1381" t="s">
        <v>339</v>
      </c>
      <c r="C32" s="1346" t="s">
        <v>257</v>
      </c>
      <c r="D32" s="1346" t="s">
        <v>340</v>
      </c>
      <c r="E32" s="1346" t="s">
        <v>239</v>
      </c>
      <c r="F32" s="1346" t="s">
        <v>340</v>
      </c>
      <c r="G32" s="1346" t="s">
        <v>339</v>
      </c>
      <c r="H32" s="1346" t="s">
        <v>339</v>
      </c>
      <c r="I32" s="1346" t="s">
        <v>239</v>
      </c>
      <c r="J32" s="1346" t="s">
        <v>341</v>
      </c>
      <c r="K32" s="1346" t="s">
        <v>55</v>
      </c>
      <c r="L32" s="1346" t="s">
        <v>342</v>
      </c>
      <c r="M32" s="1346" t="s">
        <v>251</v>
      </c>
      <c r="N32" s="1346"/>
      <c r="O32" s="1346" t="s">
        <v>341</v>
      </c>
      <c r="P32" s="1346" t="s">
        <v>340</v>
      </c>
      <c r="Q32" s="1346" t="s">
        <v>343</v>
      </c>
      <c r="R32" s="1346" t="s">
        <v>344</v>
      </c>
      <c r="S32" s="1346" t="s">
        <v>343</v>
      </c>
      <c r="T32" s="1346" t="s">
        <v>257</v>
      </c>
      <c r="U32" s="1346" t="s">
        <v>341</v>
      </c>
      <c r="V32" s="1346"/>
      <c r="W32" s="1363">
        <v>1</v>
      </c>
      <c r="X32" s="1363">
        <v>2</v>
      </c>
      <c r="Y32" s="1363">
        <v>3</v>
      </c>
      <c r="Z32" s="1363">
        <v>4</v>
      </c>
      <c r="AA32" s="1363">
        <v>5</v>
      </c>
      <c r="AB32" s="1363">
        <v>6</v>
      </c>
      <c r="AC32" s="1363">
        <v>7</v>
      </c>
      <c r="AD32" s="1363">
        <v>8</v>
      </c>
      <c r="AE32" s="1363">
        <v>9</v>
      </c>
      <c r="AF32" s="1363">
        <v>10</v>
      </c>
      <c r="AG32" s="1363">
        <v>11</v>
      </c>
      <c r="AH32" s="1363">
        <v>12</v>
      </c>
      <c r="AI32" s="1363">
        <v>13</v>
      </c>
      <c r="AJ32" s="1363">
        <v>14</v>
      </c>
      <c r="AK32" s="1363">
        <v>15</v>
      </c>
      <c r="AL32" s="1363">
        <v>16</v>
      </c>
      <c r="AM32" s="1363">
        <v>17</v>
      </c>
      <c r="AN32" s="1363">
        <v>18</v>
      </c>
      <c r="AO32" s="1363">
        <v>19</v>
      </c>
      <c r="AP32" s="1363">
        <v>20</v>
      </c>
      <c r="AQ32" s="1363">
        <v>21</v>
      </c>
      <c r="AR32" s="1363">
        <v>22</v>
      </c>
      <c r="AS32" s="1363">
        <v>23</v>
      </c>
      <c r="AT32" s="1363">
        <v>24</v>
      </c>
      <c r="AU32" s="1363">
        <v>25</v>
      </c>
      <c r="AV32" s="1363">
        <v>26</v>
      </c>
      <c r="AW32" s="1363">
        <v>27</v>
      </c>
      <c r="AX32" s="1363">
        <v>28</v>
      </c>
      <c r="AY32" s="1363">
        <v>29</v>
      </c>
      <c r="AZ32" s="1363">
        <v>30</v>
      </c>
      <c r="BA32" s="1363">
        <v>31</v>
      </c>
      <c r="BB32" s="2501">
        <f>VLOOKUP("Plan",Data!$A:$Z,17,FALSE)</f>
        <v>1</v>
      </c>
      <c r="BC32" s="2502"/>
      <c r="BD32" s="2487"/>
      <c r="BE32" s="2488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</row>
    <row r="33" spans="1:74" s="116" customFormat="1" ht="12" customHeight="1" thickBot="1">
      <c r="A33" s="2514"/>
      <c r="B33" s="1375" t="str">
        <f>IF(VLOOKUP("Jan",Data!$A:$Z,17,FALSE)="On", "X", " ")</f>
        <v xml:space="preserve"> </v>
      </c>
      <c r="C33" s="1351" t="str">
        <f>IF(VLOOKUP("Feb",Data!$A:$Z,17,FALSE)="On", "X", " ")</f>
        <v xml:space="preserve"> </v>
      </c>
      <c r="D33" s="1351" t="str">
        <f>IF(VLOOKUP("Mar",Data!$A:$Z,17,FALSE)="On", "X", " ")</f>
        <v xml:space="preserve"> </v>
      </c>
      <c r="E33" s="1351" t="str">
        <f>IF(VLOOKUP("Apr",Data!$A:$Z,17,FALSE)="On", "X", " ")</f>
        <v xml:space="preserve"> </v>
      </c>
      <c r="F33" s="1351" t="str">
        <f>IF(VLOOKUP("May",Data!$A:$Z,17,FALSE)="On", "X", " ")</f>
        <v xml:space="preserve"> </v>
      </c>
      <c r="G33" s="1351" t="str">
        <f>IF(VLOOKUP("Jun",Data!$A:$Z,17,FALSE)="On", "X", " ")</f>
        <v xml:space="preserve"> </v>
      </c>
      <c r="H33" s="1351" t="str">
        <f>IF(VLOOKUP("Jul",Data!$A:$Z,17,FALSE)="On", "X", " ")</f>
        <v xml:space="preserve"> </v>
      </c>
      <c r="I33" s="1351" t="str">
        <f>IF(VLOOKUP("Aug",Data!$A:$Z,17,FALSE)="On", "X", " ")</f>
        <v xml:space="preserve"> </v>
      </c>
      <c r="J33" s="1351" t="str">
        <f>IF(VLOOKUP("Sep",Data!$A:$Z,17,FALSE)="On", "X", " ")</f>
        <v xml:space="preserve"> </v>
      </c>
      <c r="K33" s="1351" t="str">
        <f>IF(VLOOKUP("Oct",Data!$A:$Z,17,FALSE)="On", "X", " ")</f>
        <v xml:space="preserve"> </v>
      </c>
      <c r="L33" s="1351" t="str">
        <f>IF(VLOOKUP("Nov",Data!$A:$Z,17,FALSE)="On", "X", " ")</f>
        <v xml:space="preserve"> </v>
      </c>
      <c r="M33" s="1351" t="str">
        <f>IF(VLOOKUP("Dec",Data!$A:$Z,17,FALSE)="On", "X", " ")</f>
        <v xml:space="preserve"> </v>
      </c>
      <c r="N33" s="1352"/>
      <c r="O33" s="1351" t="str">
        <f>IF(VLOOKUP("Sun",Data!$A:$Z,17,FALSE)="On", "X", " ")</f>
        <v xml:space="preserve"> </v>
      </c>
      <c r="P33" s="1351" t="str">
        <f>IF(VLOOKUP("Mon",Data!$A:$Z,17,FALSE)="On", "X", " ")</f>
        <v xml:space="preserve"> </v>
      </c>
      <c r="Q33" s="1351" t="str">
        <f>IF(VLOOKUP("Tue",Data!$A:$Z,17,FALSE)="On", "X", " ")</f>
        <v xml:space="preserve"> </v>
      </c>
      <c r="R33" s="1351" t="str">
        <f>IF(VLOOKUP("Wed",Data!$A:$Z,17,FALSE)="On", "X", " ")</f>
        <v xml:space="preserve"> </v>
      </c>
      <c r="S33" s="1351" t="str">
        <f>IF(VLOOKUP("Thu",Data!$A:$Z,17,FALSE)="On", "X", " ")</f>
        <v xml:space="preserve"> </v>
      </c>
      <c r="T33" s="1351" t="str">
        <f>IF(VLOOKUP("Fri",Data!$A:$Z,17,FALSE)="On", "X", " ")</f>
        <v xml:space="preserve"> </v>
      </c>
      <c r="U33" s="1351" t="str">
        <f>IF(VLOOKUP("Sat",Data!$A:$Z,17,FALSE)="On", "X", " ")</f>
        <v xml:space="preserve"> </v>
      </c>
      <c r="V33" s="1350"/>
      <c r="W33" s="1353" t="str">
        <f>IF(VLOOKUP(1,Data!$A:$Z,17,FALSE)="On", "X", "-")</f>
        <v>-</v>
      </c>
      <c r="X33" s="1353" t="str">
        <f>IF(VLOOKUP(2,Data!$A:$Z,17,FALSE)="On", "X", "-")</f>
        <v>-</v>
      </c>
      <c r="Y33" s="1353" t="str">
        <f>IF(VLOOKUP(3,Data!$A:$Z,17,FALSE)="On", "X", "-")</f>
        <v>-</v>
      </c>
      <c r="Z33" s="1353" t="str">
        <f>IF(VLOOKUP(4,Data!$A:$Z,17,FALSE)="On", "X", "-")</f>
        <v>-</v>
      </c>
      <c r="AA33" s="1353" t="str">
        <f>IF(VLOOKUP(5,Data!$A:$Z,17,FALSE)="On", "X", "-")</f>
        <v>-</v>
      </c>
      <c r="AB33" s="1353" t="str">
        <f>IF(VLOOKUP(6,Data!$A:$Z,17,FALSE)="On", "X", "-")</f>
        <v>-</v>
      </c>
      <c r="AC33" s="1353" t="str">
        <f>IF(VLOOKUP(7,Data!$A:$Z,17,FALSE)="On", "X", "-")</f>
        <v>-</v>
      </c>
      <c r="AD33" s="1353" t="str">
        <f>IF(VLOOKUP(8,Data!$A:$Z,17,FALSE)="On", "X", "-")</f>
        <v>-</v>
      </c>
      <c r="AE33" s="1353" t="str">
        <f>IF(VLOOKUP(9,Data!$A:$Z,17,FALSE)="On", "X", "-")</f>
        <v>-</v>
      </c>
      <c r="AF33" s="1353" t="str">
        <f>IF(VLOOKUP(10,Data!$A:$Z,17,FALSE)="On", "X", "-")</f>
        <v>-</v>
      </c>
      <c r="AG33" s="1353" t="str">
        <f>IF(VLOOKUP(11,Data!$A:$Z,17,FALSE)="On", "X", "-")</f>
        <v>-</v>
      </c>
      <c r="AH33" s="1353" t="str">
        <f>IF(VLOOKUP(12,Data!$A:$Z,17,FALSE)="On", "X", "-")</f>
        <v>-</v>
      </c>
      <c r="AI33" s="1353" t="str">
        <f>IF(VLOOKUP(13,Data!$A:$Z,17,FALSE)="On", "X", "-")</f>
        <v>-</v>
      </c>
      <c r="AJ33" s="1353" t="str">
        <f>IF(VLOOKUP(14,Data!$A:$Z,17,FALSE)="On", "X", "-")</f>
        <v>-</v>
      </c>
      <c r="AK33" s="1353" t="str">
        <f>IF(VLOOKUP(15,Data!$A:$Z,17,FALSE)="On", "X", "-")</f>
        <v>-</v>
      </c>
      <c r="AL33" s="1353" t="str">
        <f>IF(VLOOKUP(16,Data!$A:$Z,17,FALSE)="On", "X", "-")</f>
        <v>-</v>
      </c>
      <c r="AM33" s="1353" t="str">
        <f>IF(VLOOKUP(17,Data!$A:$Z,17,FALSE)="On", "X", "-")</f>
        <v>-</v>
      </c>
      <c r="AN33" s="1353" t="str">
        <f>IF(VLOOKUP(18,Data!$A:$Z,17,FALSE)="On", "X", "-")</f>
        <v>-</v>
      </c>
      <c r="AO33" s="1353" t="str">
        <f>IF(VLOOKUP(19,Data!$A:$Z,17,FALSE)="On", "X", "-")</f>
        <v>-</v>
      </c>
      <c r="AP33" s="1353" t="str">
        <f>IF(VLOOKUP(20,Data!$A:$Z,17,FALSE)="On", "X", "-")</f>
        <v>-</v>
      </c>
      <c r="AQ33" s="1353" t="str">
        <f>IF(VLOOKUP(21,Data!$A:$Z,17,FALSE)="On", "X", "-")</f>
        <v>-</v>
      </c>
      <c r="AR33" s="1353" t="str">
        <f>IF(VLOOKUP(22,Data!$A:$Z,17,FALSE)="On", "X", "-")</f>
        <v>-</v>
      </c>
      <c r="AS33" s="1353" t="str">
        <f>IF(VLOOKUP(23,Data!$A:$Z,17,FALSE)="On", "X", "-")</f>
        <v>-</v>
      </c>
      <c r="AT33" s="1353" t="str">
        <f>IF(VLOOKUP(24,Data!$A:$Z,17,FALSE)="On", "X", "-")</f>
        <v>-</v>
      </c>
      <c r="AU33" s="1353" t="str">
        <f>IF(VLOOKUP(25,Data!$A:$Z,17,FALSE)="On", "X", "-")</f>
        <v>-</v>
      </c>
      <c r="AV33" s="1353" t="str">
        <f>IF(VLOOKUP(26,Data!$A:$Z,17,FALSE)="On", "X", "-")</f>
        <v>-</v>
      </c>
      <c r="AW33" s="1353" t="str">
        <f>IF(VLOOKUP(27,Data!$A:$Z,17,FALSE)="On", "X", "-")</f>
        <v>-</v>
      </c>
      <c r="AX33" s="1353" t="str">
        <f>IF(VLOOKUP(28,Data!$A:$Z,17,FALSE)="On", "X", "-")</f>
        <v>-</v>
      </c>
      <c r="AY33" s="1353" t="str">
        <f>IF(VLOOKUP(29,Data!$A:$Z,17,FALSE)="On", "X", "-")</f>
        <v>-</v>
      </c>
      <c r="AZ33" s="1353" t="str">
        <f>IF(VLOOKUP(30,Data!$A:$Z,17,FALSE)="On", "X", "-")</f>
        <v>-</v>
      </c>
      <c r="BA33" s="1377" t="str">
        <f>IF(VLOOKUP(31,Data!$A:$Z,17,FALSE)="On", "X", "-")</f>
        <v>-</v>
      </c>
      <c r="BB33" s="2503"/>
      <c r="BC33" s="2504"/>
      <c r="BD33" s="2487"/>
      <c r="BE33" s="2488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</row>
    <row r="34" spans="1:74" s="116" customFormat="1" ht="12" customHeight="1">
      <c r="A34" s="2515">
        <v>17</v>
      </c>
      <c r="B34" s="1372" t="s">
        <v>339</v>
      </c>
      <c r="C34" s="1365" t="s">
        <v>257</v>
      </c>
      <c r="D34" s="1365" t="s">
        <v>340</v>
      </c>
      <c r="E34" s="1365" t="s">
        <v>239</v>
      </c>
      <c r="F34" s="1365" t="s">
        <v>340</v>
      </c>
      <c r="G34" s="1365" t="s">
        <v>339</v>
      </c>
      <c r="H34" s="1365" t="s">
        <v>339</v>
      </c>
      <c r="I34" s="1365" t="s">
        <v>239</v>
      </c>
      <c r="J34" s="1365" t="s">
        <v>341</v>
      </c>
      <c r="K34" s="1365" t="s">
        <v>55</v>
      </c>
      <c r="L34" s="1365" t="s">
        <v>342</v>
      </c>
      <c r="M34" s="1365" t="s">
        <v>251</v>
      </c>
      <c r="N34" s="1365"/>
      <c r="O34" s="1365" t="s">
        <v>341</v>
      </c>
      <c r="P34" s="1365" t="s">
        <v>340</v>
      </c>
      <c r="Q34" s="1365" t="s">
        <v>343</v>
      </c>
      <c r="R34" s="1365" t="s">
        <v>344</v>
      </c>
      <c r="S34" s="1365" t="s">
        <v>343</v>
      </c>
      <c r="T34" s="1365" t="s">
        <v>257</v>
      </c>
      <c r="U34" s="1365" t="s">
        <v>341</v>
      </c>
      <c r="V34" s="1365"/>
      <c r="W34" s="1368">
        <v>1</v>
      </c>
      <c r="X34" s="1368">
        <v>2</v>
      </c>
      <c r="Y34" s="1368">
        <v>3</v>
      </c>
      <c r="Z34" s="1368">
        <v>4</v>
      </c>
      <c r="AA34" s="1368">
        <v>5</v>
      </c>
      <c r="AB34" s="1368">
        <v>6</v>
      </c>
      <c r="AC34" s="1368">
        <v>7</v>
      </c>
      <c r="AD34" s="1368">
        <v>8</v>
      </c>
      <c r="AE34" s="1368">
        <v>9</v>
      </c>
      <c r="AF34" s="1368">
        <v>10</v>
      </c>
      <c r="AG34" s="1368">
        <v>11</v>
      </c>
      <c r="AH34" s="1368">
        <v>12</v>
      </c>
      <c r="AI34" s="1368">
        <v>13</v>
      </c>
      <c r="AJ34" s="1368">
        <v>14</v>
      </c>
      <c r="AK34" s="1368">
        <v>15</v>
      </c>
      <c r="AL34" s="1368">
        <v>16</v>
      </c>
      <c r="AM34" s="1368">
        <v>17</v>
      </c>
      <c r="AN34" s="1368">
        <v>18</v>
      </c>
      <c r="AO34" s="1368">
        <v>19</v>
      </c>
      <c r="AP34" s="1368">
        <v>20</v>
      </c>
      <c r="AQ34" s="1368">
        <v>21</v>
      </c>
      <c r="AR34" s="1368">
        <v>22</v>
      </c>
      <c r="AS34" s="1368">
        <v>23</v>
      </c>
      <c r="AT34" s="1368">
        <v>24</v>
      </c>
      <c r="AU34" s="1368">
        <v>25</v>
      </c>
      <c r="AV34" s="1368">
        <v>26</v>
      </c>
      <c r="AW34" s="1368">
        <v>27</v>
      </c>
      <c r="AX34" s="1368">
        <v>28</v>
      </c>
      <c r="AY34" s="1368">
        <v>29</v>
      </c>
      <c r="AZ34" s="1368">
        <v>30</v>
      </c>
      <c r="BA34" s="1368">
        <v>31</v>
      </c>
      <c r="BB34" s="2519">
        <f>VLOOKUP("Plan",Data!$A:$Z,18,FALSE)</f>
        <v>1</v>
      </c>
      <c r="BC34" s="2498"/>
      <c r="BD34" s="2487"/>
      <c r="BE34" s="2488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</row>
    <row r="35" spans="1:74" s="116" customFormat="1" ht="12" customHeight="1" thickBot="1">
      <c r="A35" s="2478"/>
      <c r="B35" s="1373" t="str">
        <f>IF(VLOOKUP("Jan",Data!$A:$Z,18,FALSE)="On", "X", " ")</f>
        <v xml:space="preserve"> </v>
      </c>
      <c r="C35" s="1369" t="str">
        <f>IF(VLOOKUP("Feb",Data!$A:$Z,18,FALSE)="On", "X", " ")</f>
        <v xml:space="preserve"> </v>
      </c>
      <c r="D35" s="1369" t="str">
        <f>IF(VLOOKUP("Mar",Data!$A:$Z,18,FALSE)="On", "X", " ")</f>
        <v xml:space="preserve"> </v>
      </c>
      <c r="E35" s="1369" t="str">
        <f>IF(VLOOKUP("Apr",Data!$A:$Z,18,FALSE)="On", "X", " ")</f>
        <v xml:space="preserve"> </v>
      </c>
      <c r="F35" s="1369" t="str">
        <f>IF(VLOOKUP("May",Data!$A:$Z,18,FALSE)="On", "X", " ")</f>
        <v xml:space="preserve"> </v>
      </c>
      <c r="G35" s="1369" t="str">
        <f>IF(VLOOKUP("Jun",Data!$A:$Z,18,FALSE)="On", "X", " ")</f>
        <v xml:space="preserve"> </v>
      </c>
      <c r="H35" s="1369" t="str">
        <f>IF(VLOOKUP("Jul",Data!$A:$Z,18,FALSE)="On", "X", " ")</f>
        <v xml:space="preserve"> </v>
      </c>
      <c r="I35" s="1369" t="str">
        <f>IF(VLOOKUP("Aug",Data!$A:$Z,18,FALSE)="On", "X", " ")</f>
        <v xml:space="preserve"> </v>
      </c>
      <c r="J35" s="1369" t="str">
        <f>IF(VLOOKUP("Sep",Data!$A:$Z,18,FALSE)="On", "X", " ")</f>
        <v xml:space="preserve"> </v>
      </c>
      <c r="K35" s="1369" t="str">
        <f>IF(VLOOKUP("Oct",Data!$A:$Z,18,FALSE)="On", "X", " ")</f>
        <v xml:space="preserve"> </v>
      </c>
      <c r="L35" s="1369" t="str">
        <f>IF(VLOOKUP("Nov",Data!$A:$Z,18,FALSE)="On", "X", " ")</f>
        <v xml:space="preserve"> </v>
      </c>
      <c r="M35" s="1369" t="str">
        <f>IF(VLOOKUP("Dec",Data!$A:$Z,18,FALSE)="On", "X", " ")</f>
        <v xml:space="preserve"> </v>
      </c>
      <c r="N35" s="1365"/>
      <c r="O35" s="1369" t="str">
        <f>IF(VLOOKUP("Sun",Data!$A:$Z,18,FALSE)="On", "X", " ")</f>
        <v xml:space="preserve"> </v>
      </c>
      <c r="P35" s="1369" t="str">
        <f>IF(VLOOKUP("Mon",Data!$A:$Z,18,FALSE)="On", "X", " ")</f>
        <v xml:space="preserve"> </v>
      </c>
      <c r="Q35" s="1369" t="str">
        <f>IF(VLOOKUP("Tue",Data!$A:$Z,18,FALSE)="On", "X", " ")</f>
        <v xml:space="preserve"> </v>
      </c>
      <c r="R35" s="1369" t="str">
        <f>IF(VLOOKUP("Wed",Data!$A:$Z,18,FALSE)="On", "X", " ")</f>
        <v xml:space="preserve"> </v>
      </c>
      <c r="S35" s="1369" t="str">
        <f>IF(VLOOKUP("Thu",Data!$A:$Z,18,FALSE)="On", "X", " ")</f>
        <v xml:space="preserve"> </v>
      </c>
      <c r="T35" s="1369" t="str">
        <f>IF(VLOOKUP("Fri",Data!$A:$Z,18,FALSE)="On", "X", " ")</f>
        <v xml:space="preserve"> </v>
      </c>
      <c r="U35" s="1369" t="str">
        <f>IF(VLOOKUP("Sat",Data!$A:$Z,18,FALSE)="On", "X", " ")</f>
        <v xml:space="preserve"> </v>
      </c>
      <c r="V35" s="1370"/>
      <c r="W35" s="1371" t="str">
        <f>IF(VLOOKUP(1,Data!$A:$Z,18,FALSE)="On", "X", "-")</f>
        <v>-</v>
      </c>
      <c r="X35" s="1371" t="str">
        <f>IF(VLOOKUP(2,Data!$A:$Z,18,FALSE)="On", "X", "-")</f>
        <v>-</v>
      </c>
      <c r="Y35" s="1371" t="str">
        <f>IF(VLOOKUP(3,Data!$A:$Z,18,FALSE)="On", "X", "-")</f>
        <v>-</v>
      </c>
      <c r="Z35" s="1371" t="str">
        <f>IF(VLOOKUP(4,Data!$A:$Z,18,FALSE)="On", "X", "-")</f>
        <v>-</v>
      </c>
      <c r="AA35" s="1371" t="str">
        <f>IF(VLOOKUP(5,Data!$A:$Z,18,FALSE)="On", "X", "-")</f>
        <v>-</v>
      </c>
      <c r="AB35" s="1371" t="str">
        <f>IF(VLOOKUP(6,Data!$A:$Z,18,FALSE)="On", "X", "-")</f>
        <v>-</v>
      </c>
      <c r="AC35" s="1371" t="str">
        <f>IF(VLOOKUP(7,Data!$A:$Z,18,FALSE)="On", "X", "-")</f>
        <v>-</v>
      </c>
      <c r="AD35" s="1371" t="str">
        <f>IF(VLOOKUP(8,Data!$A:$Z,18,FALSE)="On", "X", "-")</f>
        <v>-</v>
      </c>
      <c r="AE35" s="1371" t="str">
        <f>IF(VLOOKUP(9,Data!$A:$Z,18,FALSE)="On", "X", "-")</f>
        <v>-</v>
      </c>
      <c r="AF35" s="1371" t="str">
        <f>IF(VLOOKUP(10,Data!$A:$Z,18,FALSE)="On", "X", "-")</f>
        <v>-</v>
      </c>
      <c r="AG35" s="1371" t="str">
        <f>IF(VLOOKUP(11,Data!$A:$Z,18,FALSE)="On", "X", "-")</f>
        <v>-</v>
      </c>
      <c r="AH35" s="1371" t="str">
        <f>IF(VLOOKUP(12,Data!$A:$Z,18,FALSE)="On", "X", "-")</f>
        <v>-</v>
      </c>
      <c r="AI35" s="1371" t="str">
        <f>IF(VLOOKUP(13,Data!$A:$Z,18,FALSE)="On", "X", "-")</f>
        <v>-</v>
      </c>
      <c r="AJ35" s="1371" t="str">
        <f>IF(VLOOKUP(14,Data!$A:$Z,18,FALSE)="On", "X", "-")</f>
        <v>-</v>
      </c>
      <c r="AK35" s="1371" t="str">
        <f>IF(VLOOKUP(15,Data!$A:$Z,18,FALSE)="On", "X", "-")</f>
        <v>-</v>
      </c>
      <c r="AL35" s="1371" t="str">
        <f>IF(VLOOKUP(16,Data!$A:$Z,18,FALSE)="On", "X", "-")</f>
        <v>-</v>
      </c>
      <c r="AM35" s="1371" t="str">
        <f>IF(VLOOKUP(17,Data!$A:$Z,18,FALSE)="On", "X", "-")</f>
        <v>-</v>
      </c>
      <c r="AN35" s="1371" t="str">
        <f>IF(VLOOKUP(18,Data!$A:$Z,18,FALSE)="On", "X", "-")</f>
        <v>-</v>
      </c>
      <c r="AO35" s="1371" t="str">
        <f>IF(VLOOKUP(19,Data!$A:$Z,18,FALSE)="On", "X", "-")</f>
        <v>-</v>
      </c>
      <c r="AP35" s="1371" t="str">
        <f>IF(VLOOKUP(20,Data!$A:$Z,18,FALSE)="On", "X", "-")</f>
        <v>-</v>
      </c>
      <c r="AQ35" s="1371" t="str">
        <f>IF(VLOOKUP(21,Data!$A:$Z,18,FALSE)="On", "X", "-")</f>
        <v>-</v>
      </c>
      <c r="AR35" s="1371" t="str">
        <f>IF(VLOOKUP(22,Data!$A:$Z,18,FALSE)="On", "X", "-")</f>
        <v>-</v>
      </c>
      <c r="AS35" s="1371" t="str">
        <f>IF(VLOOKUP(23,Data!$A:$Z,18,FALSE)="On", "X", "-")</f>
        <v>-</v>
      </c>
      <c r="AT35" s="1371" t="str">
        <f>IF(VLOOKUP(24,Data!$A:$Z,18,FALSE)="On", "X", "-")</f>
        <v>-</v>
      </c>
      <c r="AU35" s="1371" t="str">
        <f>IF(VLOOKUP(25,Data!$A:$Z,18,FALSE)="On", "X", "-")</f>
        <v>-</v>
      </c>
      <c r="AV35" s="1371" t="str">
        <f>IF(VLOOKUP(26,Data!$A:$Z,18,FALSE)="On", "X", "-")</f>
        <v>-</v>
      </c>
      <c r="AW35" s="1371" t="str">
        <f>IF(VLOOKUP(27,Data!$A:$Z,18,FALSE)="On", "X", "-")</f>
        <v>-</v>
      </c>
      <c r="AX35" s="1371" t="str">
        <f>IF(VLOOKUP(28,Data!$A:$Z,18,FALSE)="On", "X", "-")</f>
        <v>-</v>
      </c>
      <c r="AY35" s="1371" t="str">
        <f>IF(VLOOKUP(29,Data!$A:$Z,18,FALSE)="On", "X", "-")</f>
        <v>-</v>
      </c>
      <c r="AZ35" s="1371" t="str">
        <f>IF(VLOOKUP(30,Data!$A:$Z,18,FALSE)="On", "X", "-")</f>
        <v>-</v>
      </c>
      <c r="BA35" s="1376" t="str">
        <f>IF(VLOOKUP(31,Data!$A:$Z,18,FALSE)="On", "X", "-")</f>
        <v>-</v>
      </c>
      <c r="BB35" s="2520"/>
      <c r="BC35" s="2500"/>
      <c r="BD35" s="2481" t="s">
        <v>3992</v>
      </c>
      <c r="BE35" s="2482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</row>
    <row r="36" spans="1:74" s="116" customFormat="1" ht="12" customHeight="1">
      <c r="A36" s="2479">
        <v>18</v>
      </c>
      <c r="B36" s="1374" t="s">
        <v>339</v>
      </c>
      <c r="C36" s="1347" t="s">
        <v>257</v>
      </c>
      <c r="D36" s="1347" t="s">
        <v>340</v>
      </c>
      <c r="E36" s="1347" t="s">
        <v>239</v>
      </c>
      <c r="F36" s="1347" t="s">
        <v>340</v>
      </c>
      <c r="G36" s="1347" t="s">
        <v>339</v>
      </c>
      <c r="H36" s="1347" t="s">
        <v>339</v>
      </c>
      <c r="I36" s="1347" t="s">
        <v>239</v>
      </c>
      <c r="J36" s="1347" t="s">
        <v>341</v>
      </c>
      <c r="K36" s="1347" t="s">
        <v>55</v>
      </c>
      <c r="L36" s="1347" t="s">
        <v>342</v>
      </c>
      <c r="M36" s="1347" t="s">
        <v>251</v>
      </c>
      <c r="N36" s="1347"/>
      <c r="O36" s="1347" t="s">
        <v>341</v>
      </c>
      <c r="P36" s="1347" t="s">
        <v>340</v>
      </c>
      <c r="Q36" s="1347" t="s">
        <v>343</v>
      </c>
      <c r="R36" s="1347" t="s">
        <v>344</v>
      </c>
      <c r="S36" s="1347" t="s">
        <v>343</v>
      </c>
      <c r="T36" s="1347" t="s">
        <v>257</v>
      </c>
      <c r="U36" s="1347" t="s">
        <v>341</v>
      </c>
      <c r="V36" s="1347"/>
      <c r="W36" s="1348">
        <v>1</v>
      </c>
      <c r="X36" s="1348">
        <v>2</v>
      </c>
      <c r="Y36" s="1348">
        <v>3</v>
      </c>
      <c r="Z36" s="1348">
        <v>4</v>
      </c>
      <c r="AA36" s="1348">
        <v>5</v>
      </c>
      <c r="AB36" s="1348">
        <v>6</v>
      </c>
      <c r="AC36" s="1348">
        <v>7</v>
      </c>
      <c r="AD36" s="1348">
        <v>8</v>
      </c>
      <c r="AE36" s="1348">
        <v>9</v>
      </c>
      <c r="AF36" s="1348">
        <v>10</v>
      </c>
      <c r="AG36" s="1348">
        <v>11</v>
      </c>
      <c r="AH36" s="1348">
        <v>12</v>
      </c>
      <c r="AI36" s="1348">
        <v>13</v>
      </c>
      <c r="AJ36" s="1348">
        <v>14</v>
      </c>
      <c r="AK36" s="1348">
        <v>15</v>
      </c>
      <c r="AL36" s="1348">
        <v>16</v>
      </c>
      <c r="AM36" s="1348">
        <v>17</v>
      </c>
      <c r="AN36" s="1348">
        <v>18</v>
      </c>
      <c r="AO36" s="1348">
        <v>19</v>
      </c>
      <c r="AP36" s="1348">
        <v>20</v>
      </c>
      <c r="AQ36" s="1348">
        <v>21</v>
      </c>
      <c r="AR36" s="1348">
        <v>22</v>
      </c>
      <c r="AS36" s="1348">
        <v>23</v>
      </c>
      <c r="AT36" s="1348">
        <v>24</v>
      </c>
      <c r="AU36" s="1348">
        <v>25</v>
      </c>
      <c r="AV36" s="1348">
        <v>26</v>
      </c>
      <c r="AW36" s="1348">
        <v>27</v>
      </c>
      <c r="AX36" s="1348">
        <v>28</v>
      </c>
      <c r="AY36" s="1348">
        <v>29</v>
      </c>
      <c r="AZ36" s="1348">
        <v>30</v>
      </c>
      <c r="BA36" s="1349">
        <v>31</v>
      </c>
      <c r="BB36" s="2493">
        <f>VLOOKUP("Plan",Data!$A:$Z,19,FALSE)</f>
        <v>1</v>
      </c>
      <c r="BC36" s="2521"/>
      <c r="BD36" s="2481"/>
      <c r="BE36" s="2482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</row>
    <row r="37" spans="1:74" s="116" customFormat="1" ht="12" customHeight="1" thickBot="1">
      <c r="A37" s="2480"/>
      <c r="B37" s="1397" t="str">
        <f>IF(VLOOKUP("Jan",Data!$A:$Z,19,FALSE)="On", "X", " ")</f>
        <v xml:space="preserve"> </v>
      </c>
      <c r="C37" s="1345" t="str">
        <f>IF(VLOOKUP("Feb",Data!$A:$Z,19,FALSE)="On", "X", " ")</f>
        <v xml:space="preserve"> </v>
      </c>
      <c r="D37" s="1345" t="str">
        <f>IF(VLOOKUP("Mar",Data!$A:$Z,19,FALSE)="On", "X", " ")</f>
        <v xml:space="preserve"> </v>
      </c>
      <c r="E37" s="1345" t="str">
        <f>IF(VLOOKUP("Apr",Data!$A:$Z,19,FALSE)="On", "X", " ")</f>
        <v xml:space="preserve"> </v>
      </c>
      <c r="F37" s="1345" t="str">
        <f>IF(VLOOKUP("May",Data!$A:$Z,19,FALSE)="On", "X", " ")</f>
        <v xml:space="preserve"> </v>
      </c>
      <c r="G37" s="1345" t="str">
        <f>IF(VLOOKUP("Jun",Data!$A:$Z,19,FALSE)="On", "X", " ")</f>
        <v xml:space="preserve"> </v>
      </c>
      <c r="H37" s="1345" t="str">
        <f>IF(VLOOKUP("Jul",Data!$A:$Z,19,FALSE)="On", "X", " ")</f>
        <v xml:space="preserve"> </v>
      </c>
      <c r="I37" s="1345" t="str">
        <f>IF(VLOOKUP("Aug",Data!$A:$Z,19,FALSE)="On", "X", " ")</f>
        <v xml:space="preserve"> </v>
      </c>
      <c r="J37" s="1345" t="str">
        <f>IF(VLOOKUP("Sep",Data!$A:$Z,19,FALSE)="On", "X", " ")</f>
        <v xml:space="preserve"> </v>
      </c>
      <c r="K37" s="1345" t="str">
        <f>IF(VLOOKUP("Oct",Data!$A:$Z,19,FALSE)="On", "X", " ")</f>
        <v xml:space="preserve"> </v>
      </c>
      <c r="L37" s="1345" t="str">
        <f>IF(VLOOKUP("Nov",Data!$A:$Z,19,FALSE)="On", "X", " ")</f>
        <v xml:space="preserve"> </v>
      </c>
      <c r="M37" s="1345" t="str">
        <f>IF(VLOOKUP("Dec",Data!$A:$Z,19,FALSE)="On", "X", " ")</f>
        <v xml:space="preserve"> </v>
      </c>
      <c r="N37" s="1346"/>
      <c r="O37" s="1345" t="str">
        <f>IF(VLOOKUP("Sun",Data!$A:$Z,19,FALSE)="On", "X", " ")</f>
        <v xml:space="preserve"> </v>
      </c>
      <c r="P37" s="1345" t="str">
        <f>IF(VLOOKUP("Mon",Data!$A:$Z,19,FALSE)="On", "X", " ")</f>
        <v xml:space="preserve"> </v>
      </c>
      <c r="Q37" s="1345" t="str">
        <f>IF(VLOOKUP("Tue",Data!$A:$Z,19,FALSE)="On", "X", " ")</f>
        <v xml:space="preserve"> </v>
      </c>
      <c r="R37" s="1345" t="str">
        <f>IF(VLOOKUP("Wed",Data!$A:$Z,19,FALSE)="On", "X", " ")</f>
        <v xml:space="preserve"> </v>
      </c>
      <c r="S37" s="1345" t="str">
        <f>IF(VLOOKUP("Thu",Data!$A:$Z,19,FALSE)="On", "X", " ")</f>
        <v xml:space="preserve"> </v>
      </c>
      <c r="T37" s="1345" t="str">
        <f>IF(VLOOKUP("Fri",Data!$A:$Z,19,FALSE)="On", "X", " ")</f>
        <v xml:space="preserve"> </v>
      </c>
      <c r="U37" s="1345" t="str">
        <f>IF(VLOOKUP("Sat",Data!$A:$Z,19,FALSE)="On", "X", " ")</f>
        <v xml:space="preserve"> </v>
      </c>
      <c r="V37" s="1364"/>
      <c r="W37" s="1345" t="str">
        <f>IF(VLOOKUP(1,Data!$A:$Z,19,FALSE)="On", "X", "-")</f>
        <v>-</v>
      </c>
      <c r="X37" s="1345" t="str">
        <f>IF(VLOOKUP(2,Data!$A:$Z,19,FALSE)="On", "X", "-")</f>
        <v>-</v>
      </c>
      <c r="Y37" s="1345" t="str">
        <f>IF(VLOOKUP(3,Data!$A:$Z,19,FALSE)="On", "X", "-")</f>
        <v>-</v>
      </c>
      <c r="Z37" s="1345" t="str">
        <f>IF(VLOOKUP(4,Data!$A:$Z,19,FALSE)="On", "X", "-")</f>
        <v>-</v>
      </c>
      <c r="AA37" s="1345" t="str">
        <f>IF(VLOOKUP(5,Data!$A:$Z,19,FALSE)="On", "X", "-")</f>
        <v>-</v>
      </c>
      <c r="AB37" s="1345" t="str">
        <f>IF(VLOOKUP(6,Data!$A:$Z,19,FALSE)="On", "X", "-")</f>
        <v>-</v>
      </c>
      <c r="AC37" s="1345" t="str">
        <f>IF(VLOOKUP(7,Data!$A:$Z,19,FALSE)="On", "X", "-")</f>
        <v>-</v>
      </c>
      <c r="AD37" s="1345" t="str">
        <f>IF(VLOOKUP(8,Data!$A:$Z,19,FALSE)="On", "X", "-")</f>
        <v>-</v>
      </c>
      <c r="AE37" s="1345" t="str">
        <f>IF(VLOOKUP(9,Data!$A:$Z,19,FALSE)="On", "X", "-")</f>
        <v>-</v>
      </c>
      <c r="AF37" s="1345" t="str">
        <f>IF(VLOOKUP(10,Data!$A:$Z,19,FALSE)="On", "X", "-")</f>
        <v>-</v>
      </c>
      <c r="AG37" s="1345" t="str">
        <f>IF(VLOOKUP(11,Data!$A:$Z,19,FALSE)="On", "X", "-")</f>
        <v>-</v>
      </c>
      <c r="AH37" s="1345" t="str">
        <f>IF(VLOOKUP(12,Data!$A:$Z,19,FALSE)="On", "X", "-")</f>
        <v>-</v>
      </c>
      <c r="AI37" s="1345" t="str">
        <f>IF(VLOOKUP(13,Data!$A:$Z,19,FALSE)="On", "X", "-")</f>
        <v>-</v>
      </c>
      <c r="AJ37" s="1345" t="str">
        <f>IF(VLOOKUP(14,Data!$A:$Z,19,FALSE)="On", "X", "-")</f>
        <v>-</v>
      </c>
      <c r="AK37" s="1345" t="str">
        <f>IF(VLOOKUP(15,Data!$A:$Z,19,FALSE)="On", "X", "-")</f>
        <v>-</v>
      </c>
      <c r="AL37" s="1345" t="str">
        <f>IF(VLOOKUP(16,Data!$A:$Z,19,FALSE)="On", "X", "-")</f>
        <v>-</v>
      </c>
      <c r="AM37" s="1345" t="str">
        <f>IF(VLOOKUP(17,Data!$A:$Z,19,FALSE)="On", "X", "-")</f>
        <v>-</v>
      </c>
      <c r="AN37" s="1345" t="str">
        <f>IF(VLOOKUP(18,Data!$A:$Z,19,FALSE)="On", "X", "-")</f>
        <v>-</v>
      </c>
      <c r="AO37" s="1345" t="str">
        <f>IF(VLOOKUP(19,Data!$A:$Z,19,FALSE)="On", "X", "-")</f>
        <v>-</v>
      </c>
      <c r="AP37" s="1345" t="str">
        <f>IF(VLOOKUP(20,Data!$A:$Z,19,FALSE)="On", "X", "-")</f>
        <v>-</v>
      </c>
      <c r="AQ37" s="1345" t="str">
        <f>IF(VLOOKUP(21,Data!$A:$Z,19,FALSE)="On", "X", "-")</f>
        <v>-</v>
      </c>
      <c r="AR37" s="1345" t="str">
        <f>IF(VLOOKUP(22,Data!$A:$Z,19,FALSE)="On", "X", "-")</f>
        <v>-</v>
      </c>
      <c r="AS37" s="1345" t="str">
        <f>IF(VLOOKUP(23,Data!$A:$Z,19,FALSE)="On", "X", "-")</f>
        <v>-</v>
      </c>
      <c r="AT37" s="1345" t="str">
        <f>IF(VLOOKUP(24,Data!$A:$Z,19,FALSE)="On", "X", "-")</f>
        <v>-</v>
      </c>
      <c r="AU37" s="1345" t="str">
        <f>IF(VLOOKUP(25,Data!$A:$Z,19,FALSE)="On", "X", "-")</f>
        <v>-</v>
      </c>
      <c r="AV37" s="1345" t="str">
        <f>IF(VLOOKUP(26,Data!$A:$Z,19,FALSE)="On", "X", "-")</f>
        <v>-</v>
      </c>
      <c r="AW37" s="1345" t="str">
        <f>IF(VLOOKUP(27,Data!$A:$Z,19,FALSE)="On", "X", "-")</f>
        <v>-</v>
      </c>
      <c r="AX37" s="1345" t="str">
        <f>IF(VLOOKUP(28,Data!$A:$Z,19,FALSE)="On", "X", "-")</f>
        <v>-</v>
      </c>
      <c r="AY37" s="1345" t="str">
        <f>IF(VLOOKUP(29,Data!$A:$Z,19,FALSE)="On", "X", "-")</f>
        <v>-</v>
      </c>
      <c r="AZ37" s="1345" t="str">
        <f>IF(VLOOKUP(30,Data!$A:$Z,19,FALSE)="On", "X", "-")</f>
        <v>-</v>
      </c>
      <c r="BA37" s="1403" t="str">
        <f>IF(VLOOKUP(31,Data!$A:$Z,19,FALSE)="On", "X", "-")</f>
        <v>-</v>
      </c>
      <c r="BB37" s="2493"/>
      <c r="BC37" s="2521"/>
      <c r="BD37" s="2483"/>
      <c r="BE37" s="2484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</row>
    <row r="38" spans="1:74" s="116" customFormat="1" ht="12" customHeight="1" thickBot="1">
      <c r="A38" s="2511" t="s">
        <v>345</v>
      </c>
      <c r="B38" s="2512"/>
      <c r="C38" s="2512"/>
      <c r="D38" s="2512"/>
      <c r="E38" s="2512"/>
      <c r="F38" s="2512"/>
      <c r="G38" s="2512"/>
      <c r="H38" s="2512"/>
      <c r="I38" s="2512"/>
      <c r="J38" s="2512"/>
      <c r="K38" s="2512"/>
      <c r="L38" s="2512"/>
      <c r="M38" s="2512"/>
      <c r="N38" s="2512"/>
      <c r="O38" s="2512"/>
      <c r="P38" s="2512"/>
      <c r="Q38" s="2512"/>
      <c r="R38" s="2512"/>
      <c r="S38" s="2512"/>
      <c r="T38" s="2512"/>
      <c r="U38" s="2512"/>
      <c r="V38" s="2512"/>
      <c r="W38" s="2512"/>
      <c r="X38" s="2512"/>
      <c r="Y38" s="2512"/>
      <c r="Z38" s="2512"/>
      <c r="AA38" s="2512"/>
      <c r="AB38" s="2512"/>
      <c r="AC38" s="2512"/>
      <c r="AD38" s="2512"/>
      <c r="AE38" s="2512"/>
      <c r="AF38" s="2512"/>
      <c r="AG38" s="2512"/>
      <c r="AH38" s="2512"/>
      <c r="AI38" s="2512"/>
      <c r="AJ38" s="2512"/>
      <c r="AK38" s="2512"/>
      <c r="AL38" s="2512"/>
      <c r="AM38" s="2512"/>
      <c r="AN38" s="2512"/>
      <c r="AO38" s="2512"/>
      <c r="AP38" s="2512"/>
      <c r="AQ38" s="2512"/>
      <c r="AR38" s="2512"/>
      <c r="AS38" s="2512"/>
      <c r="AT38" s="2512"/>
      <c r="AU38" s="2512"/>
      <c r="AV38" s="2512"/>
      <c r="AW38" s="2512"/>
      <c r="AX38" s="2512"/>
      <c r="AY38" s="2512"/>
      <c r="AZ38" s="2512"/>
      <c r="BA38" s="2512"/>
      <c r="BB38" s="2512"/>
      <c r="BC38" s="2512"/>
      <c r="BD38" s="2512"/>
      <c r="BE38" s="2513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</row>
    <row r="39" spans="1:74" s="116" customFormat="1" ht="12" customHeight="1" thickBot="1">
      <c r="A39" s="2505" t="s">
        <v>751</v>
      </c>
      <c r="B39" s="2506"/>
      <c r="C39" s="2506"/>
      <c r="D39" s="2507"/>
      <c r="E39" s="2508" t="s">
        <v>1013</v>
      </c>
      <c r="F39" s="2509"/>
      <c r="G39" s="2509"/>
      <c r="H39" s="2510"/>
      <c r="I39" s="2505" t="s">
        <v>1014</v>
      </c>
      <c r="J39" s="2506"/>
      <c r="K39" s="2506"/>
      <c r="L39" s="2507"/>
      <c r="M39" s="2516" t="s">
        <v>1015</v>
      </c>
      <c r="N39" s="2517"/>
      <c r="O39" s="2517"/>
      <c r="P39" s="2517"/>
      <c r="Q39" s="2518"/>
      <c r="R39" s="2505" t="s">
        <v>1016</v>
      </c>
      <c r="S39" s="2506"/>
      <c r="T39" s="2506"/>
      <c r="U39" s="2507"/>
      <c r="V39" s="2516" t="s">
        <v>1017</v>
      </c>
      <c r="W39" s="2517"/>
      <c r="X39" s="2517"/>
      <c r="Y39" s="2517"/>
      <c r="Z39" s="2517"/>
      <c r="AA39" s="2517"/>
      <c r="AB39" s="2517"/>
      <c r="AC39" s="2518"/>
      <c r="AD39" s="2505" t="s">
        <v>1018</v>
      </c>
      <c r="AE39" s="2506"/>
      <c r="AF39" s="2506"/>
      <c r="AG39" s="2506"/>
      <c r="AH39" s="2506"/>
      <c r="AI39" s="2506"/>
      <c r="AJ39" s="2506"/>
      <c r="AK39" s="2507"/>
      <c r="AL39" s="2516" t="s">
        <v>1019</v>
      </c>
      <c r="AM39" s="2517"/>
      <c r="AN39" s="2517"/>
      <c r="AO39" s="2517"/>
      <c r="AP39" s="2517"/>
      <c r="AQ39" s="2517"/>
      <c r="AR39" s="2517"/>
      <c r="AS39" s="2518"/>
      <c r="AT39" s="2505" t="s">
        <v>1020</v>
      </c>
      <c r="AU39" s="2506"/>
      <c r="AV39" s="2506"/>
      <c r="AW39" s="2506"/>
      <c r="AX39" s="2506"/>
      <c r="AY39" s="2506"/>
      <c r="AZ39" s="2506"/>
      <c r="BA39" s="2507"/>
      <c r="BB39" s="2508" t="s">
        <v>1021</v>
      </c>
      <c r="BC39" s="2509"/>
      <c r="BD39" s="2509"/>
      <c r="BE39" s="2510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</row>
    <row r="40" spans="1:74" s="116" customFormat="1" ht="12" customHeight="1" thickBot="1">
      <c r="A40" s="1354" t="s">
        <v>346</v>
      </c>
      <c r="B40" s="1404" t="s">
        <v>8</v>
      </c>
      <c r="C40" s="1404" t="s">
        <v>58</v>
      </c>
      <c r="D40" s="1405" t="s">
        <v>59</v>
      </c>
      <c r="E40" s="452" t="s">
        <v>346</v>
      </c>
      <c r="F40" s="1340" t="s">
        <v>8</v>
      </c>
      <c r="G40" s="1340" t="s">
        <v>58</v>
      </c>
      <c r="H40" s="451" t="s">
        <v>59</v>
      </c>
      <c r="I40" s="1357" t="s">
        <v>346</v>
      </c>
      <c r="J40" s="1355" t="s">
        <v>8</v>
      </c>
      <c r="K40" s="1355" t="s">
        <v>58</v>
      </c>
      <c r="L40" s="1356" t="s">
        <v>59</v>
      </c>
      <c r="M40" s="452" t="s">
        <v>346</v>
      </c>
      <c r="N40" s="2526" t="s">
        <v>8</v>
      </c>
      <c r="O40" s="2527"/>
      <c r="P40" s="1340" t="s">
        <v>58</v>
      </c>
      <c r="Q40" s="451" t="s">
        <v>59</v>
      </c>
      <c r="R40" s="1357" t="s">
        <v>346</v>
      </c>
      <c r="S40" s="1355" t="s">
        <v>8</v>
      </c>
      <c r="T40" s="1355" t="s">
        <v>58</v>
      </c>
      <c r="U40" s="1356" t="s">
        <v>59</v>
      </c>
      <c r="V40" s="2535" t="s">
        <v>346</v>
      </c>
      <c r="W40" s="2536"/>
      <c r="X40" s="2526" t="s">
        <v>8</v>
      </c>
      <c r="Y40" s="2534"/>
      <c r="Z40" s="2526" t="s">
        <v>58</v>
      </c>
      <c r="AA40" s="2534"/>
      <c r="AB40" s="2526" t="s">
        <v>59</v>
      </c>
      <c r="AC40" s="2539"/>
      <c r="AD40" s="2551" t="s">
        <v>346</v>
      </c>
      <c r="AE40" s="2552"/>
      <c r="AF40" s="2546" t="s">
        <v>8</v>
      </c>
      <c r="AG40" s="2547"/>
      <c r="AH40" s="2546" t="s">
        <v>58</v>
      </c>
      <c r="AI40" s="2547"/>
      <c r="AJ40" s="2546" t="s">
        <v>59</v>
      </c>
      <c r="AK40" s="2548"/>
      <c r="AL40" s="2535" t="s">
        <v>346</v>
      </c>
      <c r="AM40" s="2536"/>
      <c r="AN40" s="2526" t="s">
        <v>8</v>
      </c>
      <c r="AO40" s="2534"/>
      <c r="AP40" s="2526" t="s">
        <v>58</v>
      </c>
      <c r="AQ40" s="2534"/>
      <c r="AR40" s="2526" t="s">
        <v>59</v>
      </c>
      <c r="AS40" s="2539"/>
      <c r="AT40" s="2551" t="s">
        <v>346</v>
      </c>
      <c r="AU40" s="2552"/>
      <c r="AV40" s="2546" t="s">
        <v>8</v>
      </c>
      <c r="AW40" s="2547"/>
      <c r="AX40" s="2546" t="s">
        <v>58</v>
      </c>
      <c r="AY40" s="2547"/>
      <c r="AZ40" s="2546" t="s">
        <v>59</v>
      </c>
      <c r="BA40" s="2548"/>
      <c r="BB40" s="1362" t="s">
        <v>346</v>
      </c>
      <c r="BC40" s="1361" t="s">
        <v>8</v>
      </c>
      <c r="BD40" s="1340" t="s">
        <v>58</v>
      </c>
      <c r="BE40" s="451" t="s">
        <v>59</v>
      </c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</row>
    <row r="41" spans="1:74" ht="12" customHeight="1" thickTop="1">
      <c r="A41" s="1409">
        <v>1</v>
      </c>
      <c r="B41" s="1406">
        <f>VLOOKUP("Hour",Data!$A$524:$Z$529,2,FALSE)</f>
        <v>0</v>
      </c>
      <c r="C41" s="1341" t="s">
        <v>34</v>
      </c>
      <c r="D41" s="1342" t="s">
        <v>34</v>
      </c>
      <c r="E41" s="1412">
        <v>1</v>
      </c>
      <c r="F41" s="1406">
        <f>VLOOKUP("Hour",Data!$A$530:$Z$535,2,FALSE)</f>
        <v>0</v>
      </c>
      <c r="G41" s="1341" t="s">
        <v>34</v>
      </c>
      <c r="H41" s="1342" t="s">
        <v>34</v>
      </c>
      <c r="I41" s="1409">
        <v>1</v>
      </c>
      <c r="J41" s="1406">
        <f>VLOOKUP("Hour",Data!$A$536:$Z$541,2,FALSE)</f>
        <v>0</v>
      </c>
      <c r="K41" s="1341" t="s">
        <v>34</v>
      </c>
      <c r="L41" s="1342" t="s">
        <v>34</v>
      </c>
      <c r="M41" s="1412">
        <v>1</v>
      </c>
      <c r="N41" s="2528">
        <f>VLOOKUP("Hour",Data!$A$542:$Z$547,2,FALSE)</f>
        <v>0</v>
      </c>
      <c r="O41" s="2529"/>
      <c r="P41" s="1341" t="s">
        <v>34</v>
      </c>
      <c r="Q41" s="1342" t="s">
        <v>34</v>
      </c>
      <c r="R41" s="1409">
        <v>1</v>
      </c>
      <c r="S41" s="1406">
        <f>VLOOKUP("Hour",Data!$A$548:$Z$553,2,FALSE)</f>
        <v>0</v>
      </c>
      <c r="T41" s="1341" t="s">
        <v>34</v>
      </c>
      <c r="U41" s="1342" t="s">
        <v>34</v>
      </c>
      <c r="V41" s="2537">
        <v>1</v>
      </c>
      <c r="W41" s="2538"/>
      <c r="X41" s="2528">
        <f>VLOOKUP("Hour",Data!$A$554:$Z$559,2,FALSE)</f>
        <v>0</v>
      </c>
      <c r="Y41" s="2529"/>
      <c r="Z41" s="2529">
        <f>VLOOKUP("Minute",Data!$A$554:$Z$559,2,FALSE)</f>
        <v>0</v>
      </c>
      <c r="AA41" s="2529"/>
      <c r="AB41" s="2529">
        <f>VLOOKUP("Action",Data!$A$554:$Z$559,2,FALSE)</f>
        <v>0</v>
      </c>
      <c r="AC41" s="2540"/>
      <c r="AD41" s="2553">
        <v>1</v>
      </c>
      <c r="AE41" s="2554"/>
      <c r="AF41" s="2528">
        <f>VLOOKUP("Hour",Data!$A$560:$Z$565,2,FALSE)</f>
        <v>0</v>
      </c>
      <c r="AG41" s="2529"/>
      <c r="AH41" s="2529">
        <f>VLOOKUP("Minute",Data!$A$560:$Z$565,2,FALSE)</f>
        <v>0</v>
      </c>
      <c r="AI41" s="2529"/>
      <c r="AJ41" s="2529">
        <f>VLOOKUP("Action",Data!$A$560:$Z$565,2,FALSE)</f>
        <v>0</v>
      </c>
      <c r="AK41" s="2540"/>
      <c r="AL41" s="2537">
        <v>1</v>
      </c>
      <c r="AM41" s="2538"/>
      <c r="AN41" s="2528">
        <f>VLOOKUP("Hour",Data!$A$566:$Z$571,2,FALSE)</f>
        <v>0</v>
      </c>
      <c r="AO41" s="2529"/>
      <c r="AP41" s="2529">
        <f>VLOOKUP("Minute",Data!$A$566:$Z$571,2,FALSE)</f>
        <v>0</v>
      </c>
      <c r="AQ41" s="2529"/>
      <c r="AR41" s="2529">
        <f>VLOOKUP("Action",Data!$A$566:$Z$571,2,FALSE)</f>
        <v>0</v>
      </c>
      <c r="AS41" s="2540"/>
      <c r="AT41" s="2553">
        <v>1</v>
      </c>
      <c r="AU41" s="2554"/>
      <c r="AV41" s="2528">
        <f>VLOOKUP("Hour",Data!$A$572:$Z$577,2,FALSE)</f>
        <v>0</v>
      </c>
      <c r="AW41" s="2529"/>
      <c r="AX41" s="2529">
        <f>VLOOKUP("Minute",Data!$A$572:$Z$577,2,FALSE)</f>
        <v>0</v>
      </c>
      <c r="AY41" s="2529"/>
      <c r="AZ41" s="2529">
        <f>VLOOKUP("Action",Data!$A$572:$Z$577,2,FALSE)</f>
        <v>0</v>
      </c>
      <c r="BA41" s="2540"/>
      <c r="BB41" s="1412">
        <v>1</v>
      </c>
      <c r="BC41" s="1406">
        <f>VLOOKUP("Hour",Data!$A$578:$Z$583,2,FALSE)</f>
        <v>0</v>
      </c>
      <c r="BD41" s="1341">
        <f>VLOOKUP("Minute",Data!$A$578:$Z$583,2,FALSE)</f>
        <v>0</v>
      </c>
      <c r="BE41" s="1342">
        <f>VLOOKUP("Action",Data!$A$578:$Z$583,2,FALSE)</f>
        <v>0</v>
      </c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</row>
    <row r="42" spans="1:74" ht="12" customHeight="1">
      <c r="A42" s="1410">
        <v>2</v>
      </c>
      <c r="B42" s="817" t="s">
        <v>34</v>
      </c>
      <c r="C42" s="1358" t="s">
        <v>34</v>
      </c>
      <c r="D42" s="807" t="s">
        <v>34</v>
      </c>
      <c r="E42" s="1413">
        <v>2</v>
      </c>
      <c r="F42" s="817" t="s">
        <v>34</v>
      </c>
      <c r="G42" s="1358" t="s">
        <v>34</v>
      </c>
      <c r="H42" s="807" t="s">
        <v>34</v>
      </c>
      <c r="I42" s="1410">
        <v>2</v>
      </c>
      <c r="J42" s="817" t="s">
        <v>34</v>
      </c>
      <c r="K42" s="1358">
        <f>VLOOKUP("Minute",Data!$A$536:$Z$541,3,FALSE)</f>
        <v>0</v>
      </c>
      <c r="L42" s="807" t="s">
        <v>34</v>
      </c>
      <c r="M42" s="1413">
        <v>2</v>
      </c>
      <c r="N42" s="2522">
        <f>VLOOKUP("Hour",Data!$A$542:$Z$547,3,FALSE)</f>
        <v>1</v>
      </c>
      <c r="O42" s="1825"/>
      <c r="P42" s="1358" t="s">
        <v>34</v>
      </c>
      <c r="Q42" s="807" t="s">
        <v>34</v>
      </c>
      <c r="R42" s="1410">
        <v>2</v>
      </c>
      <c r="S42" s="817">
        <f>VLOOKUP("Hour",Data!$A$548:$Z$553,3,FALSE)</f>
        <v>0</v>
      </c>
      <c r="T42" s="1358">
        <f>VLOOKUP("Minute",Data!$A$548:$Z$553,3,FALSE)</f>
        <v>0</v>
      </c>
      <c r="U42" s="807">
        <f>VLOOKUP("Action",Data!$A$548:$Z$553,3,FALSE)</f>
        <v>0</v>
      </c>
      <c r="V42" s="2530">
        <v>2</v>
      </c>
      <c r="W42" s="2531"/>
      <c r="X42" s="2522">
        <f>VLOOKUP("Hour",Data!$A$554:$Z$559,3,FALSE)</f>
        <v>0</v>
      </c>
      <c r="Y42" s="1825"/>
      <c r="Z42" s="1825">
        <f>VLOOKUP("Minute",Data!$A$554:$Z$559,3,FALSE)</f>
        <v>0</v>
      </c>
      <c r="AA42" s="1825"/>
      <c r="AB42" s="1825">
        <f>VLOOKUP("Action",Data!$A$554:$Z$559,3,FALSE)</f>
        <v>0</v>
      </c>
      <c r="AC42" s="2541"/>
      <c r="AD42" s="2549">
        <v>2</v>
      </c>
      <c r="AE42" s="2550"/>
      <c r="AF42" s="2522">
        <f>VLOOKUP("Hour",Data!$A$560:$Z$565,3,FALSE)</f>
        <v>0</v>
      </c>
      <c r="AG42" s="1825"/>
      <c r="AH42" s="1825">
        <f>VLOOKUP("Minute",Data!$A$560:$Z$565,3,FALSE)</f>
        <v>0</v>
      </c>
      <c r="AI42" s="1825"/>
      <c r="AJ42" s="1825">
        <f>VLOOKUP("Action",Data!$A$560:$Z$565,3,FALSE)</f>
        <v>0</v>
      </c>
      <c r="AK42" s="2541"/>
      <c r="AL42" s="2530">
        <v>2</v>
      </c>
      <c r="AM42" s="2531"/>
      <c r="AN42" s="2522">
        <f>VLOOKUP("Hour",Data!$A$566:$Z$571,3,FALSE)</f>
        <v>0</v>
      </c>
      <c r="AO42" s="1825"/>
      <c r="AP42" s="1825">
        <f>VLOOKUP("Minute",Data!$A$566:$Z$571,3,FALSE)</f>
        <v>0</v>
      </c>
      <c r="AQ42" s="1825"/>
      <c r="AR42" s="1825">
        <f>VLOOKUP("Action",Data!$A$566:$Z$571,3,FALSE)</f>
        <v>0</v>
      </c>
      <c r="AS42" s="2541"/>
      <c r="AT42" s="2549">
        <v>2</v>
      </c>
      <c r="AU42" s="2550"/>
      <c r="AV42" s="2522">
        <f>VLOOKUP("Hour",Data!$A$572:$Z$577,3,FALSE)</f>
        <v>0</v>
      </c>
      <c r="AW42" s="1825"/>
      <c r="AX42" s="1825">
        <f>VLOOKUP("Minute",Data!$A$572:$Z$577,3,FALSE)</f>
        <v>0</v>
      </c>
      <c r="AY42" s="1825"/>
      <c r="AZ42" s="1825">
        <f>VLOOKUP("Action",Data!$A$572:$Z$577,3,FALSE)</f>
        <v>0</v>
      </c>
      <c r="BA42" s="2541"/>
      <c r="BB42" s="1413">
        <v>2</v>
      </c>
      <c r="BC42" s="817">
        <f>VLOOKUP("Hour",Data!$A$578:$Z$583,3,FALSE)</f>
        <v>0</v>
      </c>
      <c r="BD42" s="1358">
        <f>VLOOKUP("Minute",Data!$A$578:$Z$583,3,FALSE)</f>
        <v>0</v>
      </c>
      <c r="BE42" s="807">
        <f>VLOOKUP("Action",Data!$A$578:$Z$583,3,FALSE)</f>
        <v>0</v>
      </c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</row>
    <row r="43" spans="1:74" ht="12" customHeight="1">
      <c r="A43" s="1410">
        <v>3</v>
      </c>
      <c r="B43" s="1407" t="s">
        <v>34</v>
      </c>
      <c r="C43" s="1343">
        <f>VLOOKUP("Minute",Data!$A$524:$Z$529,4,FALSE)</f>
        <v>0</v>
      </c>
      <c r="D43" s="804" t="s">
        <v>34</v>
      </c>
      <c r="E43" s="1413">
        <v>3</v>
      </c>
      <c r="F43" s="1407" t="s">
        <v>34</v>
      </c>
      <c r="G43" s="1343">
        <f>VLOOKUP("Minute",Data!$A$530:$Z$535,4,FALSE)</f>
        <v>0</v>
      </c>
      <c r="H43" s="804" t="s">
        <v>34</v>
      </c>
      <c r="I43" s="1410">
        <v>3</v>
      </c>
      <c r="J43" s="1407" t="s">
        <v>34</v>
      </c>
      <c r="K43" s="1343" t="s">
        <v>34</v>
      </c>
      <c r="L43" s="804" t="s">
        <v>34</v>
      </c>
      <c r="M43" s="1413">
        <v>3</v>
      </c>
      <c r="N43" s="2523">
        <f>VLOOKUP("Hour",Data!$A$542:$Z$547,4,FALSE)</f>
        <v>0</v>
      </c>
      <c r="O43" s="2524"/>
      <c r="P43" s="1343">
        <f>VLOOKUP("Minute",Data!$A$542:$Z$547,4,FALSE)</f>
        <v>0</v>
      </c>
      <c r="Q43" s="804">
        <f>VLOOKUP("Action",Data!$A$542:$Z$547,4,FALSE)</f>
        <v>0</v>
      </c>
      <c r="R43" s="1410">
        <v>3</v>
      </c>
      <c r="S43" s="1407">
        <f>VLOOKUP("Hour",Data!$A$548:$Z$553,4,FALSE)</f>
        <v>0</v>
      </c>
      <c r="T43" s="1343">
        <f>VLOOKUP("Minute",Data!$A$548:$Z$553,4,FALSE)</f>
        <v>0</v>
      </c>
      <c r="U43" s="804">
        <f>VLOOKUP("Action",Data!$A$548:$Z$553,4,FALSE)</f>
        <v>0</v>
      </c>
      <c r="V43" s="2530">
        <v>3</v>
      </c>
      <c r="W43" s="2531"/>
      <c r="X43" s="2523">
        <f>VLOOKUP("Hour",Data!$A$554:$Z$559,4,FALSE)</f>
        <v>0</v>
      </c>
      <c r="Y43" s="2524"/>
      <c r="Z43" s="2524">
        <f>VLOOKUP("Minute",Data!$A$554:$Z$559,4,FALSE)</f>
        <v>0</v>
      </c>
      <c r="AA43" s="2524"/>
      <c r="AB43" s="2524">
        <f>VLOOKUP("Action",Data!$A$554:$Z$559,4,FALSE)</f>
        <v>0</v>
      </c>
      <c r="AC43" s="2542"/>
      <c r="AD43" s="2549">
        <v>3</v>
      </c>
      <c r="AE43" s="2550"/>
      <c r="AF43" s="2523">
        <f>VLOOKUP("Hour",Data!$A$560:$Z$565,4,FALSE)</f>
        <v>0</v>
      </c>
      <c r="AG43" s="2524"/>
      <c r="AH43" s="2524">
        <f>VLOOKUP("Minute",Data!$A$560:$Z$565,4,FALSE)</f>
        <v>0</v>
      </c>
      <c r="AI43" s="2524"/>
      <c r="AJ43" s="2524">
        <f>VLOOKUP("Action",Data!$A$560:$Z$565,4,FALSE)</f>
        <v>0</v>
      </c>
      <c r="AK43" s="2542"/>
      <c r="AL43" s="2530">
        <v>3</v>
      </c>
      <c r="AM43" s="2531"/>
      <c r="AN43" s="2523">
        <f>VLOOKUP("Hour",Data!$A$566:$Z$571,4,FALSE)</f>
        <v>0</v>
      </c>
      <c r="AO43" s="2524"/>
      <c r="AP43" s="2524">
        <f>VLOOKUP("Minute",Data!$A$566:$Z$571,4,FALSE)</f>
        <v>0</v>
      </c>
      <c r="AQ43" s="2524"/>
      <c r="AR43" s="2524">
        <f>VLOOKUP("Action",Data!$A$566:$Z$571,4,FALSE)</f>
        <v>0</v>
      </c>
      <c r="AS43" s="2542"/>
      <c r="AT43" s="2549">
        <v>3</v>
      </c>
      <c r="AU43" s="2550"/>
      <c r="AV43" s="2523">
        <f>VLOOKUP("Hour",Data!$A$572:$Z$577,4,FALSE)</f>
        <v>0</v>
      </c>
      <c r="AW43" s="2524"/>
      <c r="AX43" s="2524">
        <f>VLOOKUP("Minute",Data!$A$572:$Z$577,4,FALSE)</f>
        <v>0</v>
      </c>
      <c r="AY43" s="2524"/>
      <c r="AZ43" s="2524">
        <f>VLOOKUP("Action",Data!$A$572:$Z$577,4,FALSE)</f>
        <v>0</v>
      </c>
      <c r="BA43" s="2542"/>
      <c r="BB43" s="1413">
        <v>3</v>
      </c>
      <c r="BC43" s="1407">
        <f>VLOOKUP("Hour",Data!$A$578:$Z$583,4,FALSE)</f>
        <v>0</v>
      </c>
      <c r="BD43" s="1343">
        <f>VLOOKUP("Minute",Data!$A$578:$Z$583,4,FALSE)</f>
        <v>0</v>
      </c>
      <c r="BE43" s="804">
        <f>VLOOKUP("Action",Data!$A$578:$Z$583,4,FALSE)</f>
        <v>0</v>
      </c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</row>
    <row r="44" spans="1:74" ht="12" customHeight="1">
      <c r="A44" s="1410">
        <v>4</v>
      </c>
      <c r="B44" s="817">
        <f>VLOOKUP("Hour",Data!$A$524:$Z$529,5,FALSE)</f>
        <v>0</v>
      </c>
      <c r="C44" s="1358">
        <f>VLOOKUP("Minute",Data!$A$524:$Z$529,5,FALSE)</f>
        <v>0</v>
      </c>
      <c r="D44" s="807">
        <f>VLOOKUP("Action",Data!$A$524:$Z$529,5,FALSE)</f>
        <v>0</v>
      </c>
      <c r="E44" s="1413">
        <v>4</v>
      </c>
      <c r="F44" s="817" t="s">
        <v>34</v>
      </c>
      <c r="G44" s="1358" t="s">
        <v>34</v>
      </c>
      <c r="H44" s="807" t="s">
        <v>34</v>
      </c>
      <c r="I44" s="1410">
        <v>4</v>
      </c>
      <c r="J44" s="817">
        <f>VLOOKUP("Hour",Data!$A$536:$Z$541,5,FALSE)</f>
        <v>0</v>
      </c>
      <c r="K44" s="1358">
        <f>VLOOKUP("Minute",Data!$A$536:$Z$541,5,FALSE)</f>
        <v>0</v>
      </c>
      <c r="L44" s="807">
        <f>VLOOKUP("Action",Data!$A$536:$Z$541,5,FALSE)</f>
        <v>0</v>
      </c>
      <c r="M44" s="1413">
        <v>4</v>
      </c>
      <c r="N44" s="2522">
        <f>VLOOKUP("Hour",Data!$A$542:$Z$547,5,FALSE)</f>
        <v>0</v>
      </c>
      <c r="O44" s="1825"/>
      <c r="P44" s="1358">
        <f>VLOOKUP("Minute",Data!$A$542:$Z$547,5,FALSE)</f>
        <v>0</v>
      </c>
      <c r="Q44" s="807">
        <f>VLOOKUP("Action",Data!$A$542:$Z$547,5,FALSE)</f>
        <v>0</v>
      </c>
      <c r="R44" s="1410">
        <v>4</v>
      </c>
      <c r="S44" s="817">
        <f>VLOOKUP("Hour",Data!$A$548:$Z$553,5,FALSE)</f>
        <v>0</v>
      </c>
      <c r="T44" s="1358">
        <f>VLOOKUP("Minute",Data!$A$548:$Z$553,5,FALSE)</f>
        <v>0</v>
      </c>
      <c r="U44" s="807">
        <f>VLOOKUP("Action",Data!$A$548:$Z$553,5,FALSE)</f>
        <v>0</v>
      </c>
      <c r="V44" s="2530">
        <v>4</v>
      </c>
      <c r="W44" s="2531"/>
      <c r="X44" s="2522">
        <f>VLOOKUP("Hour",Data!$A$554:$Z$559,5,FALSE)</f>
        <v>0</v>
      </c>
      <c r="Y44" s="1825"/>
      <c r="Z44" s="1825">
        <f>VLOOKUP("Minute",Data!$A$554:$Z$559,5,FALSE)</f>
        <v>0</v>
      </c>
      <c r="AA44" s="1825"/>
      <c r="AB44" s="1825">
        <f>VLOOKUP("Action",Data!$A$554:$Z$559,5,FALSE)</f>
        <v>0</v>
      </c>
      <c r="AC44" s="2541"/>
      <c r="AD44" s="2549">
        <v>4</v>
      </c>
      <c r="AE44" s="2550"/>
      <c r="AF44" s="2522">
        <f>VLOOKUP("Hour",Data!$A$560:$Z$565,5,FALSE)</f>
        <v>0</v>
      </c>
      <c r="AG44" s="1825"/>
      <c r="AH44" s="1825">
        <f>VLOOKUP("Minute",Data!$A$560:$Z$565,5,FALSE)</f>
        <v>0</v>
      </c>
      <c r="AI44" s="1825"/>
      <c r="AJ44" s="1825">
        <f>VLOOKUP("Action",Data!$A$560:$Z$565,5,FALSE)</f>
        <v>0</v>
      </c>
      <c r="AK44" s="2541"/>
      <c r="AL44" s="2530">
        <v>4</v>
      </c>
      <c r="AM44" s="2531"/>
      <c r="AN44" s="2522">
        <f>VLOOKUP("Hour",Data!$A$566:$Z$571,5,FALSE)</f>
        <v>0</v>
      </c>
      <c r="AO44" s="1825"/>
      <c r="AP44" s="1825">
        <f>VLOOKUP("Minute",Data!$A$566:$Z$571,5,FALSE)</f>
        <v>0</v>
      </c>
      <c r="AQ44" s="1825"/>
      <c r="AR44" s="1825">
        <f>VLOOKUP("Action",Data!$A$566:$Z$571,5,FALSE)</f>
        <v>0</v>
      </c>
      <c r="AS44" s="2541"/>
      <c r="AT44" s="2549">
        <v>4</v>
      </c>
      <c r="AU44" s="2550"/>
      <c r="AV44" s="2522">
        <f>VLOOKUP("Hour",Data!$A$572:$Z$577,5,FALSE)</f>
        <v>0</v>
      </c>
      <c r="AW44" s="1825"/>
      <c r="AX44" s="1825">
        <f>VLOOKUP("Minute",Data!$A$572:$Z$577,5,FALSE)</f>
        <v>0</v>
      </c>
      <c r="AY44" s="1825"/>
      <c r="AZ44" s="1825">
        <f>VLOOKUP("Action",Data!$A$572:$Z$577,5,FALSE)</f>
        <v>0</v>
      </c>
      <c r="BA44" s="2541"/>
      <c r="BB44" s="1413">
        <v>4</v>
      </c>
      <c r="BC44" s="817">
        <f>VLOOKUP("Hour",Data!$A$578:$Z$583,5,FALSE)</f>
        <v>0</v>
      </c>
      <c r="BD44" s="1358">
        <f>VLOOKUP("Minute",Data!$A$578:$Z$583,5,FALSE)</f>
        <v>0</v>
      </c>
      <c r="BE44" s="807">
        <f>VLOOKUP("Action",Data!$A$578:$Z$583,5,FALSE)</f>
        <v>0</v>
      </c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</row>
    <row r="45" spans="1:74" ht="12" customHeight="1">
      <c r="A45" s="1410">
        <v>5</v>
      </c>
      <c r="B45" s="1407">
        <f>VLOOKUP("Hour",Data!$A$524:$Z$529,6,FALSE)</f>
        <v>0</v>
      </c>
      <c r="C45" s="1343">
        <f>VLOOKUP("Minute",Data!$A$524:$Z$529,6,FALSE)</f>
        <v>0</v>
      </c>
      <c r="D45" s="804">
        <f>VLOOKUP("Action",Data!$A$524:$Z$529,6,FALSE)</f>
        <v>0</v>
      </c>
      <c r="E45" s="1413">
        <v>5</v>
      </c>
      <c r="F45" s="1407">
        <f>VLOOKUP("Hour",Data!$A$530:$Z$535,6,FALSE)</f>
        <v>0</v>
      </c>
      <c r="G45" s="1343">
        <f>VLOOKUP("Minute",Data!$A$530:$Z$535,6,FALSE)</f>
        <v>0</v>
      </c>
      <c r="H45" s="804">
        <f>VLOOKUP("Action",Data!$A$530:$Z$535,6,FALSE)</f>
        <v>0</v>
      </c>
      <c r="I45" s="1410">
        <v>5</v>
      </c>
      <c r="J45" s="1407">
        <f>VLOOKUP("Hour",Data!$A$536:$Z$541,6,FALSE)</f>
        <v>0</v>
      </c>
      <c r="K45" s="1343">
        <f>VLOOKUP("Minute",Data!$A$536:$Z$541,6,FALSE)</f>
        <v>0</v>
      </c>
      <c r="L45" s="804">
        <f>VLOOKUP("Action",Data!$A$536:$Z$541,6,FALSE)</f>
        <v>0</v>
      </c>
      <c r="M45" s="1413">
        <v>5</v>
      </c>
      <c r="N45" s="2523">
        <f>VLOOKUP("Hour",Data!$A$542:$Z$547,6,FALSE)</f>
        <v>0</v>
      </c>
      <c r="O45" s="2524"/>
      <c r="P45" s="1343">
        <f>VLOOKUP("Minute",Data!$A$542:$Z$547,6,FALSE)</f>
        <v>0</v>
      </c>
      <c r="Q45" s="804">
        <f>VLOOKUP("Action",Data!$A$542:$Z$547,6,FALSE)</f>
        <v>0</v>
      </c>
      <c r="R45" s="1410">
        <v>5</v>
      </c>
      <c r="S45" s="1407">
        <f>VLOOKUP("Hour",Data!$A$548:$Z$553,6,FALSE)</f>
        <v>0</v>
      </c>
      <c r="T45" s="1343">
        <f>VLOOKUP("Minute",Data!$A$548:$Z$553,6,FALSE)</f>
        <v>0</v>
      </c>
      <c r="U45" s="804">
        <f>VLOOKUP("Action",Data!$A$548:$Z$553,6,FALSE)</f>
        <v>0</v>
      </c>
      <c r="V45" s="2530">
        <v>5</v>
      </c>
      <c r="W45" s="2531"/>
      <c r="X45" s="2523">
        <f>VLOOKUP("Hour",Data!$A$554:$Z$559,6,FALSE)</f>
        <v>0</v>
      </c>
      <c r="Y45" s="2524"/>
      <c r="Z45" s="2524">
        <f>VLOOKUP("Minute",Data!$A$554:$Z$559,6,FALSE)</f>
        <v>0</v>
      </c>
      <c r="AA45" s="2524"/>
      <c r="AB45" s="2524">
        <f>VLOOKUP("Action",Data!$A$554:$Z$559,6,FALSE)</f>
        <v>0</v>
      </c>
      <c r="AC45" s="2542"/>
      <c r="AD45" s="2549">
        <v>5</v>
      </c>
      <c r="AE45" s="2550"/>
      <c r="AF45" s="2523">
        <f>VLOOKUP("Hour",Data!$A$560:$Z$565,6,FALSE)</f>
        <v>0</v>
      </c>
      <c r="AG45" s="2524"/>
      <c r="AH45" s="2524">
        <f>VLOOKUP("Minute",Data!$A$560:$Z$565,6,FALSE)</f>
        <v>0</v>
      </c>
      <c r="AI45" s="2524"/>
      <c r="AJ45" s="2524">
        <f>VLOOKUP("Action",Data!$A$560:$Z$565,6,FALSE)</f>
        <v>0</v>
      </c>
      <c r="AK45" s="2542"/>
      <c r="AL45" s="2530">
        <v>5</v>
      </c>
      <c r="AM45" s="2531"/>
      <c r="AN45" s="2523">
        <f>VLOOKUP("Hour",Data!$A$566:$Z$571,6,FALSE)</f>
        <v>0</v>
      </c>
      <c r="AO45" s="2524"/>
      <c r="AP45" s="2524">
        <f>VLOOKUP("Minute",Data!$A$566:$Z$571,6,FALSE)</f>
        <v>0</v>
      </c>
      <c r="AQ45" s="2524"/>
      <c r="AR45" s="2524">
        <f>VLOOKUP("Action",Data!$A$566:$Z$571,6,FALSE)</f>
        <v>0</v>
      </c>
      <c r="AS45" s="2542"/>
      <c r="AT45" s="2549">
        <v>5</v>
      </c>
      <c r="AU45" s="2550"/>
      <c r="AV45" s="2523">
        <f>VLOOKUP("Hour",Data!$A$572:$Z$577,6,FALSE)</f>
        <v>0</v>
      </c>
      <c r="AW45" s="2524"/>
      <c r="AX45" s="2524">
        <f>VLOOKUP("Minute",Data!$A$572:$Z$577,6,FALSE)</f>
        <v>0</v>
      </c>
      <c r="AY45" s="2524"/>
      <c r="AZ45" s="2524">
        <f>VLOOKUP("Action",Data!$A$572:$Z$577,6,FALSE)</f>
        <v>0</v>
      </c>
      <c r="BA45" s="2542"/>
      <c r="BB45" s="1413">
        <v>5</v>
      </c>
      <c r="BC45" s="1407">
        <f>VLOOKUP("Hour",Data!$A$578:$Z$583,6,FALSE)</f>
        <v>0</v>
      </c>
      <c r="BD45" s="1343">
        <f>VLOOKUP("Minute",Data!$A$578:$Z$583,6,FALSE)</f>
        <v>0</v>
      </c>
      <c r="BE45" s="804">
        <f>VLOOKUP("Action",Data!$A$578:$Z$583,6,FALSE)</f>
        <v>0</v>
      </c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</row>
    <row r="46" spans="1:74" ht="12" customHeight="1">
      <c r="A46" s="1410">
        <v>6</v>
      </c>
      <c r="B46" s="817">
        <f>VLOOKUP("Hour",Data!$A$524:$Z$529,7,FALSE)</f>
        <v>0</v>
      </c>
      <c r="C46" s="1358">
        <f>VLOOKUP("Minute",Data!$A$524:$Z$529,7,FALSE)</f>
        <v>0</v>
      </c>
      <c r="D46" s="807">
        <f>VLOOKUP("Action",Data!$A$524:$Z$529,7,FALSE)</f>
        <v>0</v>
      </c>
      <c r="E46" s="1413">
        <v>6</v>
      </c>
      <c r="F46" s="817">
        <f>VLOOKUP("Hour",Data!$A$530:$Z$535,7,FALSE)</f>
        <v>0</v>
      </c>
      <c r="G46" s="1358">
        <f>VLOOKUP("Minute",Data!$A$530:$Z$535,7,FALSE)</f>
        <v>0</v>
      </c>
      <c r="H46" s="807">
        <f>VLOOKUP("Action",Data!$A$530:$Z$535,7,FALSE)</f>
        <v>0</v>
      </c>
      <c r="I46" s="1410">
        <v>6</v>
      </c>
      <c r="J46" s="817">
        <f>VLOOKUP("Hour",Data!$A$536:$Z$541,7,FALSE)</f>
        <v>0</v>
      </c>
      <c r="K46" s="1358">
        <f>VLOOKUP("Minute",Data!$A$536:$Z$541,7,FALSE)</f>
        <v>0</v>
      </c>
      <c r="L46" s="807">
        <f>VLOOKUP("Action",Data!$A$536:$Z$541,7,FALSE)</f>
        <v>0</v>
      </c>
      <c r="M46" s="1413">
        <v>6</v>
      </c>
      <c r="N46" s="2522">
        <f>VLOOKUP("Hour",Data!$A$542:$Z$547,7,FALSE)</f>
        <v>0</v>
      </c>
      <c r="O46" s="1825"/>
      <c r="P46" s="1358">
        <f>VLOOKUP("Minute",Data!$A$542:$Z$547,7,FALSE)</f>
        <v>0</v>
      </c>
      <c r="Q46" s="807">
        <f>VLOOKUP("Action",Data!$A$542:$Z$547,7,FALSE)</f>
        <v>0</v>
      </c>
      <c r="R46" s="1410">
        <v>6</v>
      </c>
      <c r="S46" s="817">
        <f>VLOOKUP("Hour",Data!$A$548:$Z$553,7,FALSE)</f>
        <v>0</v>
      </c>
      <c r="T46" s="1358">
        <f>VLOOKUP("Minute",Data!$A$548:$Z$553,7,FALSE)</f>
        <v>0</v>
      </c>
      <c r="U46" s="807">
        <f>VLOOKUP("Action",Data!$A$548:$Z$553,7,FALSE)</f>
        <v>0</v>
      </c>
      <c r="V46" s="2530">
        <v>6</v>
      </c>
      <c r="W46" s="2531"/>
      <c r="X46" s="2522">
        <f>VLOOKUP("Hour",Data!$A$554:$Z$559,7,FALSE)</f>
        <v>0</v>
      </c>
      <c r="Y46" s="1825"/>
      <c r="Z46" s="1825">
        <f>VLOOKUP("Minute",Data!$A$554:$Z$559,7,FALSE)</f>
        <v>0</v>
      </c>
      <c r="AA46" s="1825"/>
      <c r="AB46" s="1825">
        <f>VLOOKUP("Action",Data!$A$554:$Z$559,7,FALSE)</f>
        <v>0</v>
      </c>
      <c r="AC46" s="2541"/>
      <c r="AD46" s="2549">
        <v>6</v>
      </c>
      <c r="AE46" s="2550"/>
      <c r="AF46" s="2522">
        <f>VLOOKUP("Hour",Data!$A$560:$Z$565,7,FALSE)</f>
        <v>0</v>
      </c>
      <c r="AG46" s="1825"/>
      <c r="AH46" s="1825">
        <f>VLOOKUP("Minute",Data!$A$560:$Z$565,7,FALSE)</f>
        <v>0</v>
      </c>
      <c r="AI46" s="1825"/>
      <c r="AJ46" s="1825">
        <f>VLOOKUP("Action",Data!$A$560:$Z$565,7,FALSE)</f>
        <v>0</v>
      </c>
      <c r="AK46" s="2541"/>
      <c r="AL46" s="2530">
        <v>6</v>
      </c>
      <c r="AM46" s="2531"/>
      <c r="AN46" s="2522">
        <f>VLOOKUP("Hour",Data!$A$566:$Z$571,7,FALSE)</f>
        <v>0</v>
      </c>
      <c r="AO46" s="1825"/>
      <c r="AP46" s="1825">
        <f>VLOOKUP("Minute",Data!$A$566:$Z$571,7,FALSE)</f>
        <v>0</v>
      </c>
      <c r="AQ46" s="1825"/>
      <c r="AR46" s="1825">
        <f>VLOOKUP("Action",Data!$A$566:$Z$571,7,FALSE)</f>
        <v>0</v>
      </c>
      <c r="AS46" s="2541"/>
      <c r="AT46" s="2549">
        <v>6</v>
      </c>
      <c r="AU46" s="2550"/>
      <c r="AV46" s="2522">
        <f>VLOOKUP("Hour",Data!$A$572:$Z$577,7,FALSE)</f>
        <v>0</v>
      </c>
      <c r="AW46" s="1825"/>
      <c r="AX46" s="1825">
        <f>VLOOKUP("Minute",Data!$A$572:$Z$577,7,FALSE)</f>
        <v>0</v>
      </c>
      <c r="AY46" s="1825"/>
      <c r="AZ46" s="1825">
        <f>VLOOKUP("Action",Data!$A$572:$Z$577,7,FALSE)</f>
        <v>0</v>
      </c>
      <c r="BA46" s="2541"/>
      <c r="BB46" s="1413">
        <v>6</v>
      </c>
      <c r="BC46" s="817">
        <f>VLOOKUP("Hour",Data!$A$578:$Z$583,7,FALSE)</f>
        <v>0</v>
      </c>
      <c r="BD46" s="1358">
        <f>VLOOKUP("Minute",Data!$A$578:$Z$583,7,FALSE)</f>
        <v>0</v>
      </c>
      <c r="BE46" s="807">
        <f>VLOOKUP("Action",Data!$A$578:$Z$583,7,FALSE)</f>
        <v>0</v>
      </c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</row>
    <row r="47" spans="1:74" ht="12" customHeight="1">
      <c r="A47" s="1410">
        <v>7</v>
      </c>
      <c r="B47" s="1407">
        <f>VLOOKUP("Hour",Data!$A$524:$Z$529,8,FALSE)</f>
        <v>0</v>
      </c>
      <c r="C47" s="1343">
        <f>VLOOKUP("Minute",Data!$A$524:$Z$529,8,FALSE)</f>
        <v>0</v>
      </c>
      <c r="D47" s="804">
        <f>VLOOKUP("Action",Data!$A$524:$Z$529,8,FALSE)</f>
        <v>0</v>
      </c>
      <c r="E47" s="1413">
        <v>7</v>
      </c>
      <c r="F47" s="1407">
        <f>VLOOKUP("Hour",Data!$A$530:$Z$535,8,FALSE)</f>
        <v>0</v>
      </c>
      <c r="G47" s="1343">
        <f>VLOOKUP("Minute",Data!$A$530:$Z$535,8,FALSE)</f>
        <v>0</v>
      </c>
      <c r="H47" s="804">
        <f>VLOOKUP("Action",Data!$A$530:$Z$535,8,FALSE)</f>
        <v>0</v>
      </c>
      <c r="I47" s="1410">
        <v>7</v>
      </c>
      <c r="J47" s="1407">
        <f>VLOOKUP("Hour",Data!$A$536:$Z$541,8,FALSE)</f>
        <v>0</v>
      </c>
      <c r="K47" s="1343">
        <f>VLOOKUP("Minute",Data!$A$536:$Z$541,8,FALSE)</f>
        <v>0</v>
      </c>
      <c r="L47" s="804">
        <f>VLOOKUP("Action",Data!$A$536:$Z$541,8,FALSE)</f>
        <v>0</v>
      </c>
      <c r="M47" s="1413">
        <v>7</v>
      </c>
      <c r="N47" s="2523">
        <f>VLOOKUP("Hour",Data!$A$542:$Z$547,8,FALSE)</f>
        <v>0</v>
      </c>
      <c r="O47" s="2524"/>
      <c r="P47" s="1343">
        <f>VLOOKUP("Minute",Data!$A$542:$Z$547,8,FALSE)</f>
        <v>0</v>
      </c>
      <c r="Q47" s="804">
        <f>VLOOKUP("Action",Data!$A$542:$Z$547,8,FALSE)</f>
        <v>0</v>
      </c>
      <c r="R47" s="1410">
        <v>7</v>
      </c>
      <c r="S47" s="1407">
        <f>VLOOKUP("Hour",Data!$A$548:$Z$553,8,FALSE)</f>
        <v>0</v>
      </c>
      <c r="T47" s="1343">
        <f>VLOOKUP("Minute",Data!$A$548:$Z$553,8,FALSE)</f>
        <v>0</v>
      </c>
      <c r="U47" s="804">
        <f>VLOOKUP("Action",Data!$A$548:$Z$553,8,FALSE)</f>
        <v>0</v>
      </c>
      <c r="V47" s="2530">
        <v>7</v>
      </c>
      <c r="W47" s="2531"/>
      <c r="X47" s="2523">
        <f>VLOOKUP("Hour",Data!$A$554:$Z$559,8,FALSE)</f>
        <v>0</v>
      </c>
      <c r="Y47" s="2524"/>
      <c r="Z47" s="2524">
        <f>VLOOKUP("Minute",Data!$A$554:$Z$559,8,FALSE)</f>
        <v>0</v>
      </c>
      <c r="AA47" s="2524"/>
      <c r="AB47" s="2524">
        <f>VLOOKUP("Action",Data!$A$554:$Z$559,8,FALSE)</f>
        <v>0</v>
      </c>
      <c r="AC47" s="2542"/>
      <c r="AD47" s="2549">
        <v>7</v>
      </c>
      <c r="AE47" s="2550"/>
      <c r="AF47" s="2523">
        <f>VLOOKUP("Hour",Data!$A$560:$Z$565,8,FALSE)</f>
        <v>0</v>
      </c>
      <c r="AG47" s="2524"/>
      <c r="AH47" s="2524">
        <f>VLOOKUP("Minute",Data!$A$560:$Z$565,8,FALSE)</f>
        <v>0</v>
      </c>
      <c r="AI47" s="2524"/>
      <c r="AJ47" s="2524">
        <f>VLOOKUP("Action",Data!$A$560:$Z$565,8,FALSE)</f>
        <v>0</v>
      </c>
      <c r="AK47" s="2542"/>
      <c r="AL47" s="2530">
        <v>7</v>
      </c>
      <c r="AM47" s="2531"/>
      <c r="AN47" s="2523">
        <f>VLOOKUP("Hour",Data!$A$566:$Z$571,8,FALSE)</f>
        <v>0</v>
      </c>
      <c r="AO47" s="2524"/>
      <c r="AP47" s="2524">
        <f>VLOOKUP("Minute",Data!$A$566:$Z$571,8,FALSE)</f>
        <v>0</v>
      </c>
      <c r="AQ47" s="2524"/>
      <c r="AR47" s="2524">
        <f>VLOOKUP("Action",Data!$A$566:$Z$571,8,FALSE)</f>
        <v>0</v>
      </c>
      <c r="AS47" s="2542"/>
      <c r="AT47" s="2549">
        <v>7</v>
      </c>
      <c r="AU47" s="2550"/>
      <c r="AV47" s="2523">
        <f>VLOOKUP("Hour",Data!$A$572:$Z$577,8,FALSE)</f>
        <v>0</v>
      </c>
      <c r="AW47" s="2524"/>
      <c r="AX47" s="2524">
        <f>VLOOKUP("Minute",Data!$A$572:$Z$577,8,FALSE)</f>
        <v>0</v>
      </c>
      <c r="AY47" s="2524"/>
      <c r="AZ47" s="2524">
        <f>VLOOKUP("Action",Data!$A$572:$Z$577,8,FALSE)</f>
        <v>0</v>
      </c>
      <c r="BA47" s="2542"/>
      <c r="BB47" s="1413">
        <v>7</v>
      </c>
      <c r="BC47" s="1407">
        <f>VLOOKUP("Hour",Data!$A$578:$Z$583,8,FALSE)</f>
        <v>0</v>
      </c>
      <c r="BD47" s="1343">
        <f>VLOOKUP("Minute",Data!$A$578:$Z$583,8,FALSE)</f>
        <v>0</v>
      </c>
      <c r="BE47" s="804">
        <f>VLOOKUP("Action",Data!$A$578:$Z$583,8,FALSE)</f>
        <v>0</v>
      </c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</row>
    <row r="48" spans="1:74" ht="12" customHeight="1">
      <c r="A48" s="1410">
        <v>8</v>
      </c>
      <c r="B48" s="817">
        <f>VLOOKUP("Hour",Data!$A$524:$Z$529,9,FALSE)</f>
        <v>0</v>
      </c>
      <c r="C48" s="1358">
        <f>VLOOKUP("Minute",Data!$A$524:$Z$529,9,FALSE)</f>
        <v>0</v>
      </c>
      <c r="D48" s="807">
        <f>VLOOKUP("Action",Data!$A$524:$Z$529,9,FALSE)</f>
        <v>0</v>
      </c>
      <c r="E48" s="1413">
        <v>8</v>
      </c>
      <c r="F48" s="817">
        <f>VLOOKUP("Hour",Data!$A$530:$Z$535,9,FALSE)</f>
        <v>0</v>
      </c>
      <c r="G48" s="1358">
        <f>VLOOKUP("Minute",Data!$A$530:$Z$535,9,FALSE)</f>
        <v>0</v>
      </c>
      <c r="H48" s="807">
        <f>VLOOKUP("Action",Data!$A$530:$Z$535,9,FALSE)</f>
        <v>0</v>
      </c>
      <c r="I48" s="1410">
        <v>8</v>
      </c>
      <c r="J48" s="817">
        <f>VLOOKUP("Hour",Data!$A$536:$Z$541,9,FALSE)</f>
        <v>0</v>
      </c>
      <c r="K48" s="1358">
        <f>VLOOKUP("Minute",Data!$A$536:$Z$541,9,FALSE)</f>
        <v>0</v>
      </c>
      <c r="L48" s="807">
        <f>VLOOKUP("Action",Data!$A$536:$Z$541,9,FALSE)</f>
        <v>0</v>
      </c>
      <c r="M48" s="1413">
        <v>8</v>
      </c>
      <c r="N48" s="2522">
        <f>VLOOKUP("Hour",Data!$A$542:$Z$547,9,FALSE)</f>
        <v>0</v>
      </c>
      <c r="O48" s="1825"/>
      <c r="P48" s="1358">
        <f>VLOOKUP("Minute",Data!$A$542:$Z$547,9,FALSE)</f>
        <v>0</v>
      </c>
      <c r="Q48" s="807">
        <f>VLOOKUP("Action",Data!$A$542:$Z$547,9,FALSE)</f>
        <v>0</v>
      </c>
      <c r="R48" s="1410">
        <v>8</v>
      </c>
      <c r="S48" s="817">
        <f>VLOOKUP("Hour",Data!$A$548:$Z$553,9,FALSE)</f>
        <v>0</v>
      </c>
      <c r="T48" s="1358">
        <f>VLOOKUP("Minute",Data!$A$548:$Z$553,9,FALSE)</f>
        <v>0</v>
      </c>
      <c r="U48" s="807">
        <f>VLOOKUP("Action",Data!$A$548:$Z$553,9,FALSE)</f>
        <v>0</v>
      </c>
      <c r="V48" s="2530">
        <v>8</v>
      </c>
      <c r="W48" s="2531"/>
      <c r="X48" s="2522">
        <f>VLOOKUP("Hour",Data!$A$554:$Z$559,9,FALSE)</f>
        <v>0</v>
      </c>
      <c r="Y48" s="1825"/>
      <c r="Z48" s="1825">
        <f>VLOOKUP("Minute",Data!$A$554:$Z$559,9,FALSE)</f>
        <v>0</v>
      </c>
      <c r="AA48" s="1825"/>
      <c r="AB48" s="1825">
        <f>VLOOKUP("Action",Data!$A$554:$Z$559,9,FALSE)</f>
        <v>0</v>
      </c>
      <c r="AC48" s="2541"/>
      <c r="AD48" s="2549">
        <v>8</v>
      </c>
      <c r="AE48" s="2550"/>
      <c r="AF48" s="2522">
        <f>VLOOKUP("Hour",Data!$A$560:$Z$565,9,FALSE)</f>
        <v>0</v>
      </c>
      <c r="AG48" s="1825"/>
      <c r="AH48" s="1825">
        <f>VLOOKUP("Minute",Data!$A$560:$Z$565,9,FALSE)</f>
        <v>0</v>
      </c>
      <c r="AI48" s="1825"/>
      <c r="AJ48" s="1825">
        <f>VLOOKUP("Action",Data!$A$560:$Z$565,9,FALSE)</f>
        <v>0</v>
      </c>
      <c r="AK48" s="2541"/>
      <c r="AL48" s="2530">
        <v>8</v>
      </c>
      <c r="AM48" s="2531"/>
      <c r="AN48" s="2522">
        <f>VLOOKUP("Hour",Data!$A$566:$Z$571,9,FALSE)</f>
        <v>0</v>
      </c>
      <c r="AO48" s="1825"/>
      <c r="AP48" s="1825">
        <f>VLOOKUP("Minute",Data!$A$566:$Z$571,9,FALSE)</f>
        <v>0</v>
      </c>
      <c r="AQ48" s="1825"/>
      <c r="AR48" s="1825">
        <f>VLOOKUP("Action",Data!$A$566:$Z$571,9,FALSE)</f>
        <v>0</v>
      </c>
      <c r="AS48" s="2541"/>
      <c r="AT48" s="2549">
        <v>8</v>
      </c>
      <c r="AU48" s="2550"/>
      <c r="AV48" s="2522">
        <f>VLOOKUP("Hour",Data!$A$572:$Z$577,9,FALSE)</f>
        <v>0</v>
      </c>
      <c r="AW48" s="1825"/>
      <c r="AX48" s="1825">
        <f>VLOOKUP("Minute",Data!$A$572:$Z$577,9,FALSE)</f>
        <v>0</v>
      </c>
      <c r="AY48" s="1825"/>
      <c r="AZ48" s="1825">
        <f>VLOOKUP("Action",Data!$A$572:$Z$577,9,FALSE)</f>
        <v>0</v>
      </c>
      <c r="BA48" s="2541"/>
      <c r="BB48" s="1413">
        <v>8</v>
      </c>
      <c r="BC48" s="817">
        <f>VLOOKUP("Hour",Data!$A$578:$Z$583,9,FALSE)</f>
        <v>0</v>
      </c>
      <c r="BD48" s="1358">
        <f>VLOOKUP("Minute",Data!$A$578:$Z$583,9,FALSE)</f>
        <v>0</v>
      </c>
      <c r="BE48" s="807">
        <f>VLOOKUP("Action",Data!$A$578:$Z$583,9,FALSE)</f>
        <v>0</v>
      </c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49" spans="1:74" ht="12" customHeight="1">
      <c r="A49" s="1410">
        <v>9</v>
      </c>
      <c r="B49" s="1407">
        <f>VLOOKUP("Hour",Data!$A$524:$Z$529,10,FALSE)</f>
        <v>0</v>
      </c>
      <c r="C49" s="1343">
        <f>VLOOKUP("Minute",Data!$A$524:$Z$529,10,FALSE)</f>
        <v>0</v>
      </c>
      <c r="D49" s="804">
        <f>VLOOKUP("Action",Data!$A$524:$Z$529,10,FALSE)</f>
        <v>0</v>
      </c>
      <c r="E49" s="1413">
        <v>9</v>
      </c>
      <c r="F49" s="1407">
        <f>VLOOKUP("Hour",Data!$A$530:$Z$535,10,FALSE)</f>
        <v>0</v>
      </c>
      <c r="G49" s="1343">
        <f>VLOOKUP("Minute",Data!$A$530:$Z$535,10,FALSE)</f>
        <v>0</v>
      </c>
      <c r="H49" s="804">
        <f>VLOOKUP("Action",Data!$A$530:$Z$535,10,FALSE)</f>
        <v>0</v>
      </c>
      <c r="I49" s="1410">
        <v>9</v>
      </c>
      <c r="J49" s="1407">
        <f>VLOOKUP("Hour",Data!$A$536:$Z$541,10,FALSE)</f>
        <v>0</v>
      </c>
      <c r="K49" s="1343">
        <f>VLOOKUP("Minute",Data!$A$536:$Z$541,10,FALSE)</f>
        <v>0</v>
      </c>
      <c r="L49" s="804">
        <f>VLOOKUP("Action",Data!$A$536:$Z$541,10,FALSE)</f>
        <v>0</v>
      </c>
      <c r="M49" s="1413">
        <v>9</v>
      </c>
      <c r="N49" s="2523">
        <f>VLOOKUP("Hour",Data!$A$542:$Z$547,10,FALSE)</f>
        <v>0</v>
      </c>
      <c r="O49" s="2524"/>
      <c r="P49" s="1343">
        <f>VLOOKUP("Minute",Data!$A$542:$Z$547,10,FALSE)</f>
        <v>0</v>
      </c>
      <c r="Q49" s="804">
        <f>VLOOKUP("Action",Data!$A$542:$Z$547,10,FALSE)</f>
        <v>0</v>
      </c>
      <c r="R49" s="1410">
        <v>9</v>
      </c>
      <c r="S49" s="1407">
        <f>VLOOKUP("Hour",Data!$A$548:$Z$553,10,FALSE)</f>
        <v>0</v>
      </c>
      <c r="T49" s="1343">
        <f>VLOOKUP("Minute",Data!$A$548:$Z$553,10,FALSE)</f>
        <v>0</v>
      </c>
      <c r="U49" s="804">
        <f>VLOOKUP("Action",Data!$A$548:$Z$553,10,FALSE)</f>
        <v>0</v>
      </c>
      <c r="V49" s="2530">
        <v>9</v>
      </c>
      <c r="W49" s="2531"/>
      <c r="X49" s="2523">
        <f>VLOOKUP("Hour",Data!$A$554:$Z$559,10,FALSE)</f>
        <v>0</v>
      </c>
      <c r="Y49" s="2524"/>
      <c r="Z49" s="2524">
        <f>VLOOKUP("Minute",Data!$A$554:$Z$559,10,FALSE)</f>
        <v>0</v>
      </c>
      <c r="AA49" s="2524"/>
      <c r="AB49" s="2524">
        <f>VLOOKUP("Action",Data!$A$554:$Z$559,10,FALSE)</f>
        <v>0</v>
      </c>
      <c r="AC49" s="2542"/>
      <c r="AD49" s="2549">
        <v>9</v>
      </c>
      <c r="AE49" s="2550"/>
      <c r="AF49" s="2523">
        <f>VLOOKUP("Hour",Data!$A$560:$Z$565,10,FALSE)</f>
        <v>0</v>
      </c>
      <c r="AG49" s="2524"/>
      <c r="AH49" s="2524">
        <f>VLOOKUP("Minute",Data!$A$560:$Z$565,10,FALSE)</f>
        <v>0</v>
      </c>
      <c r="AI49" s="2524"/>
      <c r="AJ49" s="2524">
        <f>VLOOKUP("Action",Data!$A$560:$Z$565,10,FALSE)</f>
        <v>0</v>
      </c>
      <c r="AK49" s="2542"/>
      <c r="AL49" s="2530">
        <v>9</v>
      </c>
      <c r="AM49" s="2531"/>
      <c r="AN49" s="2523">
        <f>VLOOKUP("Hour",Data!$A$566:$Z$571,10,FALSE)</f>
        <v>0</v>
      </c>
      <c r="AO49" s="2524"/>
      <c r="AP49" s="2524">
        <f>VLOOKUP("Minute",Data!$A$566:$Z$571,10,FALSE)</f>
        <v>0</v>
      </c>
      <c r="AQ49" s="2524"/>
      <c r="AR49" s="2524">
        <f>VLOOKUP("Action",Data!$A$566:$Z$571,10,FALSE)</f>
        <v>0</v>
      </c>
      <c r="AS49" s="2542"/>
      <c r="AT49" s="2549">
        <v>9</v>
      </c>
      <c r="AU49" s="2550"/>
      <c r="AV49" s="2523">
        <f>VLOOKUP("Hour",Data!$A$572:$Z$577,10,FALSE)</f>
        <v>0</v>
      </c>
      <c r="AW49" s="2524"/>
      <c r="AX49" s="2524">
        <f>VLOOKUP("Minute",Data!$A$572:$Z$577,10,FALSE)</f>
        <v>0</v>
      </c>
      <c r="AY49" s="2524"/>
      <c r="AZ49" s="2524">
        <f>VLOOKUP("Action",Data!$A$572:$Z$577,10,FALSE)</f>
        <v>0</v>
      </c>
      <c r="BA49" s="2542"/>
      <c r="BB49" s="1413">
        <v>9</v>
      </c>
      <c r="BC49" s="1407">
        <f>VLOOKUP("Hour",Data!$A$578:$Z$583,10,FALSE)</f>
        <v>0</v>
      </c>
      <c r="BD49" s="1343">
        <f>VLOOKUP("Minute",Data!$A$578:$Z$583,10,FALSE)</f>
        <v>0</v>
      </c>
      <c r="BE49" s="804">
        <f>VLOOKUP("Action",Data!$A$578:$Z$583,10,FALSE)</f>
        <v>0</v>
      </c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</row>
    <row r="50" spans="1:74" ht="12" customHeight="1" thickBot="1">
      <c r="A50" s="1411">
        <v>10</v>
      </c>
      <c r="B50" s="1408">
        <f>VLOOKUP("Hour",Data!$A$524:$Z$529,11,FALSE)</f>
        <v>0</v>
      </c>
      <c r="C50" s="1359">
        <f>VLOOKUP("Minute",Data!$A$524:$Z$529,11,FALSE)</f>
        <v>0</v>
      </c>
      <c r="D50" s="1344">
        <f>VLOOKUP("Action",Data!$A$524:$Z$529,11,FALSE)</f>
        <v>0</v>
      </c>
      <c r="E50" s="1414">
        <v>10</v>
      </c>
      <c r="F50" s="1408">
        <f>VLOOKUP("Hour",Data!$A$530:$Z$535,11,FALSE)</f>
        <v>0</v>
      </c>
      <c r="G50" s="1359">
        <f>VLOOKUP("Minute",Data!$A$530:$Z$535,11,FALSE)</f>
        <v>0</v>
      </c>
      <c r="H50" s="1344">
        <f>VLOOKUP("Action",Data!$A$530:$Z$535,11,FALSE)</f>
        <v>0</v>
      </c>
      <c r="I50" s="1411">
        <v>10</v>
      </c>
      <c r="J50" s="1408">
        <f>VLOOKUP("Hour",Data!$A$536:$Z$541,11,FALSE)</f>
        <v>0</v>
      </c>
      <c r="K50" s="1359">
        <f>VLOOKUP("Minute",Data!$A$536:$Z$541,11,FALSE)</f>
        <v>0</v>
      </c>
      <c r="L50" s="1344">
        <f>VLOOKUP("Action",Data!$A$536:$Z$541,11,FALSE)</f>
        <v>0</v>
      </c>
      <c r="M50" s="1414">
        <v>10</v>
      </c>
      <c r="N50" s="2525">
        <f>VLOOKUP("Hour",Data!$A$542:$Z$547,11,FALSE)</f>
        <v>0</v>
      </c>
      <c r="O50" s="1895"/>
      <c r="P50" s="1359">
        <f>VLOOKUP("Minute",Data!$A$542:$Z$547,11,FALSE)</f>
        <v>0</v>
      </c>
      <c r="Q50" s="1344">
        <f>VLOOKUP("Action",Data!$A$542:$Z$547,11,FALSE)</f>
        <v>0</v>
      </c>
      <c r="R50" s="1411">
        <v>10</v>
      </c>
      <c r="S50" s="1408">
        <f>VLOOKUP("Hour",Data!$A$548:$Z$553,11,FALSE)</f>
        <v>0</v>
      </c>
      <c r="T50" s="1359">
        <f>VLOOKUP("Minute",Data!$A$548:$Z$553,11,FALSE)</f>
        <v>0</v>
      </c>
      <c r="U50" s="1344">
        <f>VLOOKUP("Action",Data!$A$548:$Z$553,11,FALSE)</f>
        <v>0</v>
      </c>
      <c r="V50" s="2532">
        <v>10</v>
      </c>
      <c r="W50" s="2533"/>
      <c r="X50" s="2525">
        <f>VLOOKUP("Hour",Data!$A$554:$Z$559,11,FALSE)</f>
        <v>0</v>
      </c>
      <c r="Y50" s="1895"/>
      <c r="Z50" s="1895">
        <f>VLOOKUP("Minute",Data!$A$554:$Z$559,11,FALSE)</f>
        <v>0</v>
      </c>
      <c r="AA50" s="1895"/>
      <c r="AB50" s="1895">
        <f>VLOOKUP("Action",Data!$A$554:$Z$559,11,FALSE)</f>
        <v>0</v>
      </c>
      <c r="AC50" s="2543"/>
      <c r="AD50" s="2544">
        <v>10</v>
      </c>
      <c r="AE50" s="2545"/>
      <c r="AF50" s="2525">
        <f>VLOOKUP("Hour",Data!$A$560:$Z$565,11,FALSE)</f>
        <v>0</v>
      </c>
      <c r="AG50" s="1895"/>
      <c r="AH50" s="1895">
        <f>VLOOKUP("Minute",Data!$A$560:$Z$565,11,FALSE)</f>
        <v>0</v>
      </c>
      <c r="AI50" s="1895"/>
      <c r="AJ50" s="1895">
        <f>VLOOKUP("Action",Data!$A$560:$Z$565,11,FALSE)</f>
        <v>0</v>
      </c>
      <c r="AK50" s="2543"/>
      <c r="AL50" s="2532">
        <v>10</v>
      </c>
      <c r="AM50" s="2533"/>
      <c r="AN50" s="2525">
        <f>VLOOKUP("Hour",Data!$A$566:$Z$571,11,FALSE)</f>
        <v>0</v>
      </c>
      <c r="AO50" s="1895"/>
      <c r="AP50" s="1895">
        <f>VLOOKUP("Minute",Data!$A$566:$Z$571,11,FALSE)</f>
        <v>0</v>
      </c>
      <c r="AQ50" s="1895"/>
      <c r="AR50" s="1895">
        <f>VLOOKUP("Action",Data!$A$566:$Z$571,11,FALSE)</f>
        <v>0</v>
      </c>
      <c r="AS50" s="2543"/>
      <c r="AT50" s="2544">
        <v>10</v>
      </c>
      <c r="AU50" s="2545"/>
      <c r="AV50" s="2525">
        <f>VLOOKUP("Hour",Data!$A$572:$Z$577,11,FALSE)</f>
        <v>0</v>
      </c>
      <c r="AW50" s="1895"/>
      <c r="AX50" s="1895">
        <f>VLOOKUP("Minute",Data!$A$572:$Z$577,11,FALSE)</f>
        <v>0</v>
      </c>
      <c r="AY50" s="1895"/>
      <c r="AZ50" s="1895">
        <f>VLOOKUP("Action",Data!$A$572:$Z$577,11,FALSE)</f>
        <v>0</v>
      </c>
      <c r="BA50" s="2543"/>
      <c r="BB50" s="1414">
        <v>10</v>
      </c>
      <c r="BC50" s="1408">
        <f>VLOOKUP("Hour",Data!$A$578:$Z$583,11,FALSE)</f>
        <v>0</v>
      </c>
      <c r="BD50" s="1359">
        <f>VLOOKUP("Minute",Data!$A$578:$Z$583,11,FALSE)</f>
        <v>0</v>
      </c>
      <c r="BE50" s="1344">
        <f>VLOOKUP("Action",Data!$A$578:$Z$583,11,FALSE)</f>
        <v>0</v>
      </c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</row>
    <row r="51" spans="1:74" ht="9" customHeight="1">
      <c r="A51" s="1339"/>
      <c r="B51" s="1339"/>
      <c r="C51" s="1339"/>
      <c r="D51" s="1339"/>
      <c r="E51" s="1339"/>
      <c r="F51" s="1339"/>
      <c r="G51" s="1339"/>
      <c r="H51" s="1339"/>
      <c r="I51" s="1339"/>
      <c r="J51" s="1339"/>
      <c r="K51" s="1339"/>
      <c r="L51" s="1339"/>
      <c r="M51" s="1339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1339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</row>
    <row r="52" spans="1:74" ht="9" customHeight="1">
      <c r="A52" s="1339"/>
      <c r="B52" s="1339"/>
      <c r="C52" s="1339"/>
      <c r="D52" s="1339"/>
      <c r="E52" s="1339"/>
      <c r="F52" s="1339"/>
      <c r="G52" s="1339"/>
      <c r="H52" s="1339"/>
      <c r="I52" s="1339"/>
      <c r="J52" s="1339"/>
      <c r="K52" s="1339"/>
      <c r="L52" s="1339"/>
      <c r="M52" s="1339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1339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</row>
    <row r="53" spans="1:74" ht="9" customHeight="1">
      <c r="A53" s="1339"/>
      <c r="B53" s="1339"/>
      <c r="C53" s="1339"/>
      <c r="D53" s="1339"/>
      <c r="E53" s="1339"/>
      <c r="F53" s="1339"/>
      <c r="G53" s="1339"/>
      <c r="H53" s="1339"/>
      <c r="I53" s="1339"/>
      <c r="J53" s="1339"/>
      <c r="K53" s="1339"/>
      <c r="L53" s="1339"/>
      <c r="M53" s="1339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1339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1:74" ht="9" customHeight="1">
      <c r="A54" s="1339"/>
      <c r="B54" s="1339"/>
      <c r="C54" s="1339"/>
      <c r="D54" s="1339"/>
      <c r="E54" s="1339"/>
      <c r="F54" s="1339"/>
      <c r="G54" s="1339"/>
      <c r="H54" s="1339"/>
      <c r="I54" s="1339"/>
      <c r="J54" s="1339"/>
      <c r="K54" s="1339"/>
      <c r="L54" s="1339"/>
      <c r="M54" s="1339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1339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1:74" ht="9" customHeight="1">
      <c r="A55" s="1339"/>
      <c r="B55" s="1339"/>
      <c r="C55" s="1339"/>
      <c r="D55" s="1339"/>
      <c r="E55" s="1339"/>
      <c r="F55" s="1339"/>
      <c r="G55" s="1339"/>
      <c r="H55" s="1339"/>
      <c r="I55" s="1339"/>
      <c r="J55" s="1339"/>
      <c r="K55" s="1339"/>
      <c r="L55" s="1339"/>
      <c r="M55" s="1339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1339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</row>
    <row r="56" spans="1:74" ht="9" customHeight="1">
      <c r="A56" s="1339"/>
      <c r="B56" s="1339"/>
      <c r="C56" s="1339"/>
      <c r="D56" s="1339"/>
      <c r="E56" s="1339"/>
      <c r="F56" s="1339"/>
      <c r="G56" s="1339"/>
      <c r="H56" s="1339"/>
      <c r="I56" s="1339"/>
      <c r="J56" s="1339"/>
      <c r="K56" s="1339"/>
      <c r="L56" s="1339"/>
      <c r="M56" s="1339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1339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</row>
    <row r="57" spans="1:74" ht="9" customHeight="1">
      <c r="A57" s="1339"/>
      <c r="B57" s="1339"/>
      <c r="C57" s="1339"/>
      <c r="D57" s="1339"/>
      <c r="E57" s="1339"/>
      <c r="F57" s="1339"/>
      <c r="G57" s="1339"/>
      <c r="H57" s="1339"/>
      <c r="I57" s="1339"/>
      <c r="J57" s="1339"/>
      <c r="K57" s="1339"/>
      <c r="L57" s="1339"/>
      <c r="M57" s="1339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1339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</row>
    <row r="58" spans="1:74" ht="9" customHeight="1">
      <c r="A58" s="1339"/>
      <c r="B58" s="1339"/>
      <c r="C58" s="1339"/>
      <c r="D58" s="1339"/>
      <c r="E58" s="1339"/>
      <c r="F58" s="1339"/>
      <c r="G58" s="1339"/>
      <c r="H58" s="1339"/>
      <c r="I58" s="1339"/>
      <c r="J58" s="1339"/>
      <c r="K58" s="1339"/>
      <c r="L58" s="1339"/>
      <c r="M58" s="1339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1339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</row>
    <row r="59" spans="1:74" ht="9" customHeight="1">
      <c r="A59" s="1339"/>
      <c r="B59" s="1339"/>
      <c r="C59" s="1339"/>
      <c r="D59" s="1339"/>
      <c r="E59" s="1339"/>
      <c r="F59" s="1339"/>
      <c r="G59" s="1339"/>
      <c r="H59" s="1339"/>
      <c r="I59" s="1339"/>
      <c r="J59" s="1339"/>
      <c r="K59" s="1339"/>
      <c r="L59" s="1339"/>
      <c r="M59" s="1339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1339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</row>
    <row r="60" spans="1:74" ht="9" customHeight="1">
      <c r="A60" s="1339"/>
      <c r="B60" s="1339"/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1339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</row>
    <row r="61" spans="1:74" ht="9" customHeight="1">
      <c r="A61" s="1339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1339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</row>
    <row r="62" spans="1:74" ht="9" customHeight="1">
      <c r="A62" s="1339"/>
      <c r="B62" s="1339"/>
      <c r="C62" s="1339"/>
      <c r="D62" s="1339"/>
      <c r="E62" s="1339"/>
      <c r="F62" s="1339"/>
      <c r="G62" s="1339"/>
      <c r="H62" s="1339"/>
      <c r="I62" s="1339"/>
      <c r="J62" s="1339"/>
      <c r="K62" s="1339"/>
      <c r="L62" s="1339"/>
      <c r="M62" s="1339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1339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</row>
    <row r="63" spans="1:74" ht="9" customHeight="1">
      <c r="A63" s="1339"/>
      <c r="B63" s="1339"/>
      <c r="C63" s="1339"/>
      <c r="D63" s="1339"/>
      <c r="E63" s="1339"/>
      <c r="F63" s="1339"/>
      <c r="G63" s="1339"/>
      <c r="H63" s="1339"/>
      <c r="I63" s="1339"/>
      <c r="J63" s="1339"/>
      <c r="K63" s="1339"/>
      <c r="L63" s="1339"/>
      <c r="M63" s="1339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1339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</row>
    <row r="64" spans="1:74" ht="9.9" customHeight="1">
      <c r="A64" s="1339"/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1339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</row>
    <row r="65" spans="1:74" ht="21.9" customHeight="1">
      <c r="A65" s="1339"/>
      <c r="B65" s="1339"/>
      <c r="C65" s="1339"/>
      <c r="D65" s="1339"/>
      <c r="E65" s="1339"/>
      <c r="F65" s="1339"/>
      <c r="G65" s="1339"/>
      <c r="H65" s="1339"/>
      <c r="I65" s="1339"/>
      <c r="J65" s="1339"/>
      <c r="K65" s="1339"/>
      <c r="L65" s="1339"/>
      <c r="M65" s="1339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1339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</row>
    <row r="66" spans="1:74" ht="21.9" customHeight="1">
      <c r="A66" s="1339"/>
      <c r="B66" s="1339"/>
      <c r="C66" s="1339"/>
      <c r="D66" s="1339"/>
      <c r="E66" s="1339"/>
      <c r="F66" s="1339"/>
      <c r="G66" s="1339"/>
      <c r="H66" s="1339"/>
      <c r="I66" s="1339"/>
      <c r="J66" s="1339"/>
      <c r="K66" s="1339"/>
      <c r="L66" s="1339"/>
      <c r="M66" s="1339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1339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</row>
    <row r="67" spans="1:74" ht="21.9" customHeight="1">
      <c r="A67" s="1339"/>
      <c r="B67" s="1339"/>
      <c r="C67" s="1339"/>
      <c r="D67" s="1339"/>
      <c r="E67" s="1339"/>
      <c r="F67" s="1339"/>
      <c r="G67" s="1339"/>
      <c r="H67" s="1339"/>
      <c r="I67" s="1339"/>
      <c r="J67" s="1339"/>
      <c r="K67" s="1339"/>
      <c r="L67" s="1339"/>
      <c r="M67" s="1339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1339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</row>
    <row r="68" spans="1:74" ht="21.9" customHeight="1">
      <c r="A68" s="1339"/>
      <c r="B68" s="1339"/>
      <c r="C68" s="1339"/>
      <c r="D68" s="1339"/>
      <c r="E68" s="1339"/>
      <c r="F68" s="1339"/>
      <c r="G68" s="1339"/>
      <c r="H68" s="1339"/>
      <c r="I68" s="1339"/>
      <c r="J68" s="1339"/>
      <c r="K68" s="1339"/>
      <c r="L68" s="1339"/>
      <c r="M68" s="1339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1339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</row>
    <row r="69" spans="1:74" ht="21.9" customHeight="1">
      <c r="A69" s="1339"/>
      <c r="B69" s="1339"/>
      <c r="C69" s="1339"/>
      <c r="D69" s="1339"/>
      <c r="E69" s="1339"/>
      <c r="F69" s="1339"/>
      <c r="G69" s="1339"/>
      <c r="H69" s="1339"/>
      <c r="I69" s="1339"/>
      <c r="J69" s="1339"/>
      <c r="K69" s="1339"/>
      <c r="L69" s="1339"/>
      <c r="M69" s="1339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1339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</row>
    <row r="70" spans="1:74" ht="21.9" customHeight="1">
      <c r="A70" s="1339"/>
      <c r="B70" s="1339"/>
      <c r="C70" s="1339"/>
      <c r="D70" s="1339"/>
      <c r="E70" s="1339"/>
      <c r="F70" s="1339"/>
      <c r="G70" s="1339"/>
      <c r="H70" s="1339"/>
      <c r="I70" s="1339"/>
      <c r="J70" s="1339"/>
      <c r="K70" s="1339"/>
      <c r="L70" s="1339"/>
      <c r="M70" s="1339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1339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</row>
    <row r="71" spans="1:74" ht="21.9" customHeight="1">
      <c r="A71" s="1339"/>
      <c r="B71" s="1339"/>
      <c r="C71" s="1339"/>
      <c r="D71" s="1339"/>
      <c r="E71" s="1339"/>
      <c r="F71" s="1339"/>
      <c r="G71" s="1339"/>
      <c r="H71" s="1339"/>
      <c r="I71" s="1339"/>
      <c r="J71" s="1339"/>
      <c r="K71" s="1339"/>
      <c r="L71" s="1339"/>
      <c r="M71" s="1339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1339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</row>
    <row r="72" spans="1:74" ht="21.9" customHeight="1">
      <c r="A72" s="1339"/>
      <c r="B72" s="1339"/>
      <c r="C72" s="1339"/>
      <c r="D72" s="1339"/>
      <c r="E72" s="1339"/>
      <c r="F72" s="1339"/>
      <c r="G72" s="1339"/>
      <c r="H72" s="1339"/>
      <c r="I72" s="1339"/>
      <c r="J72" s="1339"/>
      <c r="K72" s="1339"/>
      <c r="L72" s="1339"/>
      <c r="M72" s="1339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1339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</row>
    <row r="73" spans="1:74" ht="21.9" customHeight="1">
      <c r="A73" s="1339"/>
      <c r="B73" s="1339"/>
      <c r="C73" s="1339"/>
      <c r="D73" s="1339"/>
      <c r="E73" s="1339"/>
      <c r="F73" s="1339"/>
      <c r="G73" s="1339"/>
      <c r="H73" s="1339"/>
      <c r="I73" s="1339"/>
      <c r="J73" s="1339"/>
      <c r="K73" s="1339"/>
      <c r="L73" s="1339"/>
      <c r="M73" s="1339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1339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</row>
    <row r="74" spans="1:74" ht="21.9" customHeight="1">
      <c r="A74" s="1339"/>
      <c r="B74" s="1339"/>
      <c r="C74" s="1339"/>
      <c r="D74" s="1339"/>
      <c r="E74" s="1339"/>
      <c r="F74" s="1339"/>
      <c r="G74" s="1339"/>
      <c r="H74" s="1339"/>
      <c r="I74" s="1339"/>
      <c r="J74" s="1339"/>
      <c r="K74" s="1339"/>
      <c r="L74" s="1339"/>
      <c r="M74" s="1339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1339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</row>
    <row r="75" spans="1:74" ht="21.9" customHeight="1">
      <c r="A75" s="1339"/>
      <c r="B75" s="1339"/>
      <c r="C75" s="1339"/>
      <c r="D75" s="1339"/>
      <c r="E75" s="1339"/>
      <c r="F75" s="1339"/>
      <c r="G75" s="1339"/>
      <c r="H75" s="1339"/>
      <c r="I75" s="1339"/>
      <c r="J75" s="1339"/>
      <c r="K75" s="1339"/>
      <c r="L75" s="1339"/>
      <c r="M75" s="1339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1339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</row>
    <row r="76" spans="1:74" ht="21.9" customHeight="1">
      <c r="A76" s="1339"/>
      <c r="B76" s="1339"/>
      <c r="C76" s="1339"/>
      <c r="D76" s="1339"/>
      <c r="E76" s="1339"/>
      <c r="F76" s="1339"/>
      <c r="G76" s="1339"/>
      <c r="H76" s="1339"/>
      <c r="I76" s="1339"/>
      <c r="J76" s="1339"/>
      <c r="K76" s="1339"/>
      <c r="L76" s="1339"/>
      <c r="M76" s="1339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1339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</row>
    <row r="77" spans="1:74" ht="21.9" customHeight="1">
      <c r="A77" s="1339"/>
      <c r="B77" s="1339"/>
      <c r="C77" s="1339"/>
      <c r="D77" s="1339"/>
      <c r="E77" s="1339"/>
      <c r="F77" s="1339"/>
      <c r="G77" s="1339"/>
      <c r="H77" s="1339"/>
      <c r="I77" s="1339"/>
      <c r="J77" s="1339"/>
      <c r="K77" s="1339"/>
      <c r="L77" s="1339"/>
      <c r="M77" s="1339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1339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</row>
    <row r="78" spans="1:74" ht="21.9" customHeight="1">
      <c r="A78" s="1339"/>
      <c r="B78" s="1339"/>
      <c r="C78" s="1339"/>
      <c r="D78" s="1339"/>
      <c r="E78" s="1339"/>
      <c r="F78" s="1339"/>
      <c r="G78" s="1339"/>
      <c r="H78" s="1339"/>
      <c r="I78" s="1339"/>
      <c r="J78" s="1339"/>
      <c r="K78" s="1339"/>
      <c r="L78" s="1339"/>
      <c r="M78" s="1339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1339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</row>
    <row r="79" spans="1:74" ht="21.9" customHeight="1">
      <c r="A79" s="1339"/>
      <c r="B79" s="1339"/>
      <c r="C79" s="1339"/>
      <c r="D79" s="1339"/>
      <c r="E79" s="1339"/>
      <c r="F79" s="1339"/>
      <c r="G79" s="1339"/>
      <c r="H79" s="1339"/>
      <c r="I79" s="1339"/>
      <c r="J79" s="1339"/>
      <c r="K79" s="1339"/>
      <c r="L79" s="1339"/>
      <c r="M79" s="1339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1339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</row>
    <row r="80" spans="1:74" ht="21.9" customHeight="1">
      <c r="A80" s="1339"/>
      <c r="B80" s="1339"/>
      <c r="C80" s="1339"/>
      <c r="D80" s="1339"/>
      <c r="E80" s="1339"/>
      <c r="F80" s="1339"/>
      <c r="G80" s="1339"/>
      <c r="H80" s="1339"/>
      <c r="I80" s="1339"/>
      <c r="J80" s="1339"/>
      <c r="K80" s="1339"/>
      <c r="L80" s="1339"/>
      <c r="M80" s="1339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1339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</row>
    <row r="81" spans="1:74" ht="21.9" customHeight="1">
      <c r="A81" s="1339"/>
      <c r="B81" s="1339"/>
      <c r="C81" s="1339"/>
      <c r="D81" s="1339"/>
      <c r="E81" s="1339"/>
      <c r="F81" s="1339"/>
      <c r="G81" s="1339"/>
      <c r="H81" s="1339"/>
      <c r="I81" s="1339"/>
      <c r="J81" s="1339"/>
      <c r="K81" s="1339"/>
      <c r="L81" s="1339"/>
      <c r="M81" s="1339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1339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</row>
    <row r="82" spans="1:74" ht="21.9" customHeight="1">
      <c r="A82" s="1339"/>
      <c r="B82" s="1339"/>
      <c r="C82" s="1339"/>
      <c r="D82" s="1339"/>
      <c r="E82" s="1339"/>
      <c r="F82" s="1339"/>
      <c r="G82" s="1339"/>
      <c r="H82" s="1339"/>
      <c r="I82" s="1339"/>
      <c r="J82" s="1339"/>
      <c r="K82" s="1339"/>
      <c r="L82" s="1339"/>
      <c r="M82" s="1339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1339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</row>
    <row r="83" spans="1:74" ht="21.9" customHeight="1">
      <c r="A83" s="1339"/>
      <c r="B83" s="1339"/>
      <c r="C83" s="1339"/>
      <c r="D83" s="1339"/>
      <c r="E83" s="1339"/>
      <c r="F83" s="1339"/>
      <c r="G83" s="1339"/>
      <c r="H83" s="1339"/>
      <c r="I83" s="1339"/>
      <c r="J83" s="1339"/>
      <c r="K83" s="1339"/>
      <c r="L83" s="1339"/>
      <c r="M83" s="1339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1339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</row>
    <row r="84" spans="1:74" ht="21.9" customHeight="1">
      <c r="A84" s="1339"/>
      <c r="B84" s="1339"/>
      <c r="C84" s="1339"/>
      <c r="D84" s="1339"/>
      <c r="E84" s="1339"/>
      <c r="F84" s="1339"/>
      <c r="G84" s="1339"/>
      <c r="H84" s="1339"/>
      <c r="I84" s="1339"/>
      <c r="J84" s="1339"/>
      <c r="K84" s="1339"/>
      <c r="L84" s="1339"/>
      <c r="M84" s="1339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1339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</row>
    <row r="85" spans="1:74" ht="21.9" customHeight="1">
      <c r="A85" s="1339"/>
      <c r="B85" s="1339"/>
      <c r="C85" s="1339"/>
      <c r="D85" s="1339"/>
      <c r="E85" s="1339"/>
      <c r="F85" s="1339"/>
      <c r="G85" s="1339"/>
      <c r="H85" s="1339"/>
      <c r="I85" s="1339"/>
      <c r="J85" s="1339"/>
      <c r="K85" s="1339"/>
      <c r="L85" s="1339"/>
      <c r="M85" s="1339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1339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</row>
    <row r="86" spans="1:74" ht="21.9" customHeight="1">
      <c r="A86" s="1339"/>
      <c r="B86" s="1339"/>
      <c r="C86" s="1339"/>
      <c r="D86" s="1339"/>
      <c r="E86" s="1339"/>
      <c r="F86" s="1339"/>
      <c r="G86" s="1339"/>
      <c r="H86" s="1339"/>
      <c r="I86" s="1339"/>
      <c r="J86" s="1339"/>
      <c r="K86" s="1339"/>
      <c r="L86" s="1339"/>
      <c r="M86" s="1339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1339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</row>
    <row r="87" spans="1:74" ht="21.9" customHeight="1">
      <c r="A87" s="1339"/>
      <c r="B87" s="1339"/>
      <c r="C87" s="1339"/>
      <c r="D87" s="1339"/>
      <c r="E87" s="1339"/>
      <c r="F87" s="1339"/>
      <c r="G87" s="1339"/>
      <c r="H87" s="1339"/>
      <c r="I87" s="1339"/>
      <c r="J87" s="1339"/>
      <c r="K87" s="1339"/>
      <c r="L87" s="1339"/>
      <c r="M87" s="1339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133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</row>
    <row r="88" spans="1:74" ht="21.9" customHeight="1">
      <c r="A88" s="1339"/>
      <c r="B88" s="1339"/>
      <c r="C88" s="1339"/>
      <c r="D88" s="1339"/>
      <c r="E88" s="1339"/>
      <c r="F88" s="1339"/>
      <c r="G88" s="1339"/>
      <c r="H88" s="1339"/>
      <c r="I88" s="1339"/>
      <c r="J88" s="1339"/>
      <c r="K88" s="1339"/>
      <c r="L88" s="1339"/>
      <c r="M88" s="1339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133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</row>
    <row r="89" spans="1:74" ht="21.9" customHeight="1">
      <c r="A89" s="1339"/>
      <c r="B89" s="1339"/>
      <c r="C89" s="1339"/>
      <c r="D89" s="1339"/>
      <c r="E89" s="1339"/>
      <c r="F89" s="1339"/>
      <c r="G89" s="1339"/>
      <c r="H89" s="1339"/>
      <c r="I89" s="1339"/>
      <c r="J89" s="1339"/>
      <c r="K89" s="1339"/>
      <c r="L89" s="1339"/>
      <c r="M89" s="1339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133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</row>
    <row r="90" spans="1:74" ht="21.9" customHeight="1">
      <c r="A90" s="1339"/>
      <c r="B90" s="1339"/>
      <c r="C90" s="1339"/>
      <c r="D90" s="1339"/>
      <c r="E90" s="1339"/>
      <c r="F90" s="1339"/>
      <c r="G90" s="1339"/>
      <c r="H90" s="1339"/>
      <c r="I90" s="1339"/>
      <c r="J90" s="1339"/>
      <c r="K90" s="1339"/>
      <c r="L90" s="1339"/>
      <c r="M90" s="1339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133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</row>
    <row r="91" spans="1:74" ht="21.9" customHeight="1">
      <c r="A91" s="1339"/>
      <c r="B91" s="1339"/>
      <c r="C91" s="1339"/>
      <c r="D91" s="1339"/>
      <c r="E91" s="1339"/>
      <c r="F91" s="1339"/>
      <c r="G91" s="1339"/>
      <c r="H91" s="1339"/>
      <c r="I91" s="1339"/>
      <c r="J91" s="1339"/>
      <c r="K91" s="1339"/>
      <c r="L91" s="1339"/>
      <c r="M91" s="1339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133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</row>
    <row r="92" spans="1:74" ht="21.9" customHeight="1">
      <c r="A92" s="1339"/>
      <c r="B92" s="1339"/>
      <c r="C92" s="1339"/>
      <c r="D92" s="1339"/>
      <c r="E92" s="1339"/>
      <c r="F92" s="1339"/>
      <c r="G92" s="1339"/>
      <c r="H92" s="1339"/>
      <c r="I92" s="1339"/>
      <c r="J92" s="1339"/>
      <c r="K92" s="1339"/>
      <c r="L92" s="1339"/>
      <c r="M92" s="1339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1339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</row>
    <row r="93" spans="1:74" ht="21.9" customHeight="1">
      <c r="A93" s="1339"/>
      <c r="B93" s="1339"/>
      <c r="C93" s="1339"/>
      <c r="D93" s="1339"/>
      <c r="E93" s="1339"/>
      <c r="F93" s="1339"/>
      <c r="G93" s="1339"/>
      <c r="H93" s="1339"/>
      <c r="I93" s="1339"/>
      <c r="J93" s="1339"/>
      <c r="K93" s="1339"/>
      <c r="L93" s="1339"/>
      <c r="M93" s="1339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1339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</row>
    <row r="94" spans="1:74" ht="21.9" customHeight="1">
      <c r="A94" s="1339"/>
      <c r="B94" s="1339"/>
      <c r="C94" s="1339"/>
      <c r="D94" s="1339"/>
      <c r="E94" s="1339"/>
      <c r="F94" s="1339"/>
      <c r="G94" s="1339"/>
      <c r="H94" s="1339"/>
      <c r="I94" s="1339"/>
      <c r="J94" s="1339"/>
      <c r="K94" s="1339"/>
      <c r="L94" s="1339"/>
      <c r="M94" s="1339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1339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</row>
    <row r="95" spans="1:74" ht="21.9" customHeight="1">
      <c r="A95" s="1339"/>
      <c r="B95" s="1339"/>
      <c r="C95" s="1339"/>
      <c r="D95" s="1339"/>
      <c r="E95" s="1339"/>
      <c r="F95" s="1339"/>
      <c r="G95" s="1339"/>
      <c r="H95" s="1339"/>
      <c r="I95" s="1339"/>
      <c r="J95" s="1339"/>
      <c r="K95" s="1339"/>
      <c r="L95" s="1339"/>
      <c r="M95" s="1339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1339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</row>
    <row r="96" spans="1:74" ht="21.9" customHeight="1">
      <c r="A96" s="1339"/>
      <c r="B96" s="1339"/>
      <c r="C96" s="1339"/>
      <c r="D96" s="1339"/>
      <c r="E96" s="1339"/>
      <c r="F96" s="1339"/>
      <c r="G96" s="1339"/>
      <c r="H96" s="1339"/>
      <c r="I96" s="1339"/>
      <c r="J96" s="1339"/>
      <c r="K96" s="1339"/>
      <c r="L96" s="1339"/>
      <c r="M96" s="1339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1339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</row>
    <row r="97" spans="1:74" ht="21.9" customHeight="1">
      <c r="A97" s="1339"/>
      <c r="B97" s="1339"/>
      <c r="C97" s="1339"/>
      <c r="D97" s="1339"/>
      <c r="E97" s="1339"/>
      <c r="F97" s="1339"/>
      <c r="G97" s="1339"/>
      <c r="H97" s="1339"/>
      <c r="I97" s="1339"/>
      <c r="J97" s="1339"/>
      <c r="K97" s="1339"/>
      <c r="L97" s="1339"/>
      <c r="M97" s="1339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1339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</row>
    <row r="98" spans="1:74" ht="21.9" customHeight="1">
      <c r="A98" s="1339"/>
      <c r="B98" s="1339"/>
      <c r="C98" s="1339"/>
      <c r="D98" s="1339"/>
      <c r="E98" s="1339"/>
      <c r="F98" s="1339"/>
      <c r="G98" s="1339"/>
      <c r="H98" s="1339"/>
      <c r="I98" s="1339"/>
      <c r="J98" s="1339"/>
      <c r="K98" s="1339"/>
      <c r="L98" s="1339"/>
      <c r="M98" s="1339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1339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</row>
    <row r="99" spans="1:74" ht="21.9" customHeight="1">
      <c r="A99" s="1339"/>
      <c r="B99" s="1339"/>
      <c r="C99" s="1339"/>
      <c r="D99" s="1339"/>
      <c r="E99" s="1339"/>
      <c r="F99" s="1339"/>
      <c r="G99" s="1339"/>
      <c r="H99" s="1339"/>
      <c r="I99" s="1339"/>
      <c r="J99" s="1339"/>
      <c r="K99" s="1339"/>
      <c r="L99" s="1339"/>
      <c r="M99" s="1339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1339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</row>
    <row r="100" spans="1:74" ht="21.9" customHeight="1">
      <c r="A100" s="1339"/>
      <c r="B100" s="1339"/>
      <c r="C100" s="1339"/>
      <c r="D100" s="1339"/>
      <c r="E100" s="1339"/>
      <c r="F100" s="1339"/>
      <c r="G100" s="1339"/>
      <c r="H100" s="1339"/>
      <c r="I100" s="1339"/>
      <c r="J100" s="1339"/>
      <c r="K100" s="1339"/>
      <c r="L100" s="1339"/>
      <c r="M100" s="1339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1339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</row>
    <row r="101" spans="1:74" ht="21.9" customHeight="1">
      <c r="A101" s="1339"/>
      <c r="B101" s="1339"/>
      <c r="C101" s="1339"/>
      <c r="D101" s="1339"/>
      <c r="E101" s="1339"/>
      <c r="F101" s="1339"/>
      <c r="G101" s="1339"/>
      <c r="H101" s="1339"/>
      <c r="I101" s="1339"/>
      <c r="J101" s="1339"/>
      <c r="K101" s="1339"/>
      <c r="L101" s="1339"/>
      <c r="M101" s="1339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1339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</row>
    <row r="102" spans="1:74" ht="21.9" customHeight="1">
      <c r="A102" s="1339"/>
      <c r="B102" s="1339"/>
      <c r="C102" s="1339"/>
      <c r="D102" s="1339"/>
      <c r="E102" s="1339"/>
      <c r="F102" s="1339"/>
      <c r="G102" s="1339"/>
      <c r="H102" s="1339"/>
      <c r="I102" s="1339"/>
      <c r="J102" s="1339"/>
      <c r="K102" s="1339"/>
      <c r="L102" s="1339"/>
      <c r="M102" s="1339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1339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</row>
    <row r="103" spans="1:74" ht="21.9" customHeight="1">
      <c r="A103" s="1339"/>
      <c r="B103" s="1339"/>
      <c r="C103" s="1339"/>
      <c r="D103" s="1339"/>
      <c r="E103" s="1339"/>
      <c r="F103" s="1339"/>
      <c r="G103" s="1339"/>
      <c r="H103" s="1339"/>
      <c r="I103" s="1339"/>
      <c r="J103" s="1339"/>
      <c r="K103" s="1339"/>
      <c r="L103" s="1339"/>
      <c r="M103" s="1339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1339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</row>
    <row r="104" spans="1:74" ht="21.9" customHeight="1">
      <c r="A104" s="1339"/>
      <c r="B104" s="1339"/>
      <c r="C104" s="1339"/>
      <c r="D104" s="1339"/>
      <c r="E104" s="1339"/>
      <c r="F104" s="1339"/>
      <c r="G104" s="1339"/>
      <c r="H104" s="1339"/>
      <c r="I104" s="1339"/>
      <c r="J104" s="1339"/>
      <c r="K104" s="1339"/>
      <c r="L104" s="1339"/>
      <c r="M104" s="1339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1339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</row>
    <row r="105" spans="1:74" ht="21.9" customHeight="1">
      <c r="A105" s="1339"/>
      <c r="B105" s="1339"/>
      <c r="C105" s="1339"/>
      <c r="D105" s="1339"/>
      <c r="E105" s="1339"/>
      <c r="F105" s="1339"/>
      <c r="G105" s="1339"/>
      <c r="H105" s="1339"/>
      <c r="I105" s="1339"/>
      <c r="J105" s="1339"/>
      <c r="K105" s="1339"/>
      <c r="L105" s="1339"/>
      <c r="M105" s="1339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1339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</row>
    <row r="106" spans="1:74" ht="21.9" customHeight="1">
      <c r="A106" s="1339"/>
      <c r="B106" s="1339"/>
      <c r="C106" s="1339"/>
      <c r="D106" s="1339"/>
      <c r="E106" s="1339"/>
      <c r="F106" s="1339"/>
      <c r="G106" s="1339"/>
      <c r="H106" s="1339"/>
      <c r="I106" s="1339"/>
      <c r="J106" s="1339"/>
      <c r="K106" s="1339"/>
      <c r="L106" s="1339"/>
      <c r="M106" s="1339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1339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</row>
    <row r="107" spans="1:74" ht="21.9" customHeight="1">
      <c r="A107" s="1339"/>
      <c r="B107" s="1339"/>
      <c r="C107" s="1339"/>
      <c r="D107" s="1339"/>
      <c r="E107" s="1339"/>
      <c r="F107" s="1339"/>
      <c r="G107" s="1339"/>
      <c r="H107" s="1339"/>
      <c r="I107" s="1339"/>
      <c r="J107" s="1339"/>
      <c r="K107" s="1339"/>
      <c r="L107" s="1339"/>
      <c r="M107" s="1339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1339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</row>
    <row r="108" spans="1:74" ht="21.9" customHeight="1">
      <c r="A108" s="1339"/>
      <c r="B108" s="1339"/>
      <c r="C108" s="1339"/>
      <c r="D108" s="1339"/>
      <c r="E108" s="1339"/>
      <c r="F108" s="1339"/>
      <c r="G108" s="1339"/>
      <c r="H108" s="1339"/>
      <c r="I108" s="1339"/>
      <c r="J108" s="1339"/>
      <c r="K108" s="1339"/>
      <c r="L108" s="1339"/>
      <c r="M108" s="1339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1339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</row>
    <row r="109" spans="1:74" ht="21.9" customHeight="1">
      <c r="A109" s="1339"/>
      <c r="B109" s="1339"/>
      <c r="C109" s="1339"/>
      <c r="D109" s="1339"/>
      <c r="E109" s="1339"/>
      <c r="F109" s="1339"/>
      <c r="G109" s="1339"/>
      <c r="H109" s="1339"/>
      <c r="I109" s="1339"/>
      <c r="J109" s="1339"/>
      <c r="K109" s="1339"/>
      <c r="L109" s="1339"/>
      <c r="M109" s="1339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1339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</row>
    <row r="110" spans="1:74" ht="21.9" customHeight="1">
      <c r="A110" s="1339"/>
      <c r="B110" s="1339"/>
      <c r="C110" s="1339"/>
      <c r="D110" s="1339"/>
      <c r="E110" s="1339"/>
      <c r="F110" s="1339"/>
      <c r="G110" s="1339"/>
      <c r="H110" s="1339"/>
      <c r="I110" s="1339"/>
      <c r="J110" s="1339"/>
      <c r="K110" s="1339"/>
      <c r="L110" s="1339"/>
      <c r="M110" s="1339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1339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</row>
    <row r="111" spans="1:74" ht="21.9" customHeight="1">
      <c r="A111" s="1339"/>
      <c r="B111" s="1339"/>
      <c r="C111" s="1339"/>
      <c r="D111" s="1339"/>
      <c r="E111" s="1339"/>
      <c r="F111" s="1339"/>
      <c r="G111" s="1339"/>
      <c r="H111" s="1339"/>
      <c r="I111" s="1339"/>
      <c r="J111" s="1339"/>
      <c r="K111" s="1339"/>
      <c r="L111" s="1339"/>
      <c r="M111" s="1339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1339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</row>
    <row r="112" spans="1:74" ht="21.9" customHeight="1">
      <c r="A112" s="1339"/>
      <c r="B112" s="1339"/>
      <c r="C112" s="1339"/>
      <c r="D112" s="1339"/>
      <c r="E112" s="1339"/>
      <c r="F112" s="1339"/>
      <c r="G112" s="1339"/>
      <c r="H112" s="1339"/>
      <c r="I112" s="1339"/>
      <c r="J112" s="1339"/>
      <c r="K112" s="1339"/>
      <c r="L112" s="1339"/>
      <c r="M112" s="1339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1339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</row>
    <row r="113" spans="1:74" ht="21.9" customHeight="1">
      <c r="A113" s="1339"/>
      <c r="B113" s="1339"/>
      <c r="C113" s="1339"/>
      <c r="D113" s="1339"/>
      <c r="E113" s="1339"/>
      <c r="F113" s="1339"/>
      <c r="G113" s="1339"/>
      <c r="H113" s="1339"/>
      <c r="I113" s="1339"/>
      <c r="J113" s="1339"/>
      <c r="K113" s="1339"/>
      <c r="L113" s="1339"/>
      <c r="M113" s="1339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1339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</row>
    <row r="114" spans="1:74" ht="21.9" customHeight="1">
      <c r="A114" s="1339"/>
      <c r="B114" s="1339"/>
      <c r="C114" s="1339"/>
      <c r="D114" s="1339"/>
      <c r="E114" s="1339"/>
      <c r="F114" s="1339"/>
      <c r="G114" s="1339"/>
      <c r="H114" s="1339"/>
      <c r="I114" s="1339"/>
      <c r="J114" s="1339"/>
      <c r="K114" s="1339"/>
      <c r="L114" s="1339"/>
      <c r="M114" s="1339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1339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</row>
    <row r="115" spans="1:74" ht="21.9" customHeight="1">
      <c r="A115" s="1339"/>
      <c r="B115" s="1339"/>
      <c r="C115" s="1339"/>
      <c r="D115" s="1339"/>
      <c r="E115" s="1339"/>
      <c r="F115" s="1339"/>
      <c r="G115" s="1339"/>
      <c r="H115" s="1339"/>
      <c r="I115" s="1339"/>
      <c r="J115" s="1339"/>
      <c r="K115" s="1339"/>
      <c r="L115" s="1339"/>
      <c r="M115" s="1339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1339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</row>
    <row r="116" spans="1:74" ht="21.9" customHeight="1">
      <c r="A116" s="1339"/>
      <c r="B116" s="1339"/>
      <c r="C116" s="1339"/>
      <c r="D116" s="1339"/>
      <c r="E116" s="1339"/>
      <c r="F116" s="1339"/>
      <c r="G116" s="1339"/>
      <c r="H116" s="1339"/>
      <c r="I116" s="1339"/>
      <c r="J116" s="1339"/>
      <c r="K116" s="1339"/>
      <c r="L116" s="1339"/>
      <c r="M116" s="1339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1339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</row>
    <row r="117" spans="1:74" ht="21.9" customHeight="1">
      <c r="A117" s="1339"/>
      <c r="B117" s="1339"/>
      <c r="C117" s="1339"/>
      <c r="D117" s="1339"/>
      <c r="E117" s="1339"/>
      <c r="F117" s="1339"/>
      <c r="G117" s="1339"/>
      <c r="H117" s="1339"/>
      <c r="I117" s="1339"/>
      <c r="J117" s="1339"/>
      <c r="K117" s="1339"/>
      <c r="L117" s="1339"/>
      <c r="M117" s="1339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1339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</row>
    <row r="118" spans="1:74" ht="21.9" customHeight="1">
      <c r="A118" s="1339"/>
      <c r="B118" s="1339"/>
      <c r="C118" s="1339"/>
      <c r="D118" s="1339"/>
      <c r="E118" s="1339"/>
      <c r="F118" s="1339"/>
      <c r="G118" s="1339"/>
      <c r="H118" s="1339"/>
      <c r="I118" s="1339"/>
      <c r="J118" s="1339"/>
      <c r="K118" s="1339"/>
      <c r="L118" s="1339"/>
      <c r="M118" s="1339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1339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</row>
    <row r="119" spans="1:74" ht="21.9" customHeight="1">
      <c r="A119" s="1339"/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1339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</row>
    <row r="120" spans="1:74" ht="21.9" customHeight="1">
      <c r="A120" s="1339"/>
      <c r="B120" s="1339"/>
      <c r="C120" s="1339"/>
      <c r="D120" s="1339"/>
      <c r="E120" s="1339"/>
      <c r="F120" s="1339"/>
      <c r="G120" s="1339"/>
      <c r="H120" s="1339"/>
      <c r="I120" s="1339"/>
      <c r="J120" s="1339"/>
      <c r="K120" s="1339"/>
      <c r="L120" s="1339"/>
      <c r="M120" s="1339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1339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</row>
    <row r="121" spans="1:74" ht="21.9" customHeight="1">
      <c r="A121" s="1339"/>
      <c r="B121" s="1339"/>
      <c r="C121" s="1339"/>
      <c r="D121" s="1339"/>
      <c r="E121" s="1339"/>
      <c r="F121" s="1339"/>
      <c r="G121" s="1339"/>
      <c r="H121" s="1339"/>
      <c r="I121" s="1339"/>
      <c r="J121" s="1339"/>
      <c r="K121" s="1339"/>
      <c r="L121" s="1339"/>
      <c r="M121" s="1339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1339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</row>
    <row r="122" spans="1:74" ht="21.9" customHeight="1">
      <c r="A122" s="1339"/>
      <c r="B122" s="1339"/>
      <c r="C122" s="1339"/>
      <c r="D122" s="1339"/>
      <c r="E122" s="1339"/>
      <c r="F122" s="1339"/>
      <c r="G122" s="1339"/>
      <c r="H122" s="1339"/>
      <c r="I122" s="1339"/>
      <c r="J122" s="1339"/>
      <c r="K122" s="1339"/>
      <c r="L122" s="1339"/>
      <c r="M122" s="1339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1339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</row>
    <row r="123" spans="1:74" ht="21.9" customHeight="1">
      <c r="A123" s="1339"/>
      <c r="B123" s="1339"/>
      <c r="C123" s="1339"/>
      <c r="D123" s="1339"/>
      <c r="E123" s="1339"/>
      <c r="F123" s="1339"/>
      <c r="G123" s="1339"/>
      <c r="H123" s="1339"/>
      <c r="I123" s="1339"/>
      <c r="J123" s="1339"/>
      <c r="K123" s="1339"/>
      <c r="L123" s="1339"/>
      <c r="M123" s="1339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1339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</row>
    <row r="124" spans="1:74" ht="21.9" customHeight="1">
      <c r="A124" s="1339"/>
      <c r="B124" s="1339"/>
      <c r="C124" s="1339"/>
      <c r="D124" s="1339"/>
      <c r="E124" s="1339"/>
      <c r="F124" s="1339"/>
      <c r="G124" s="1339"/>
      <c r="H124" s="1339"/>
      <c r="I124" s="1339"/>
      <c r="J124" s="1339"/>
      <c r="K124" s="1339"/>
      <c r="L124" s="1339"/>
      <c r="M124" s="1339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1339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</row>
    <row r="125" spans="1:74" ht="21.9" customHeight="1">
      <c r="A125" s="1339"/>
      <c r="B125" s="1339"/>
      <c r="C125" s="1339"/>
      <c r="D125" s="1339"/>
      <c r="E125" s="1339"/>
      <c r="F125" s="1339"/>
      <c r="G125" s="1339"/>
      <c r="H125" s="1339"/>
      <c r="I125" s="1339"/>
      <c r="J125" s="1339"/>
      <c r="K125" s="1339"/>
      <c r="L125" s="1339"/>
      <c r="M125" s="1339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1339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</row>
    <row r="126" spans="1:74" ht="21.9" customHeight="1">
      <c r="A126" s="1339"/>
      <c r="B126" s="1339"/>
      <c r="C126" s="1339"/>
      <c r="D126" s="1339"/>
      <c r="E126" s="1339"/>
      <c r="F126" s="1339"/>
      <c r="G126" s="1339"/>
      <c r="H126" s="1339"/>
      <c r="I126" s="1339"/>
      <c r="J126" s="1339"/>
      <c r="K126" s="1339"/>
      <c r="L126" s="1339"/>
      <c r="M126" s="1339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1339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</row>
    <row r="127" spans="1:74" ht="21.9" customHeight="1">
      <c r="A127" s="1339"/>
      <c r="B127" s="1339"/>
      <c r="C127" s="1339"/>
      <c r="D127" s="1339"/>
      <c r="E127" s="1339"/>
      <c r="F127" s="1339"/>
      <c r="G127" s="1339"/>
      <c r="H127" s="1339"/>
      <c r="I127" s="1339"/>
      <c r="J127" s="1339"/>
      <c r="K127" s="1339"/>
      <c r="L127" s="1339"/>
      <c r="M127" s="1339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1339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</row>
    <row r="128" spans="1:74" ht="21.9" customHeight="1">
      <c r="A128" s="1339"/>
      <c r="B128" s="1339"/>
      <c r="C128" s="1339"/>
      <c r="D128" s="1339"/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1339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</row>
    <row r="129" spans="1:74" ht="21.9" customHeight="1">
      <c r="A129" s="1339"/>
      <c r="B129" s="1339"/>
      <c r="C129" s="1339"/>
      <c r="D129" s="1339"/>
      <c r="E129" s="1339"/>
      <c r="F129" s="1339"/>
      <c r="G129" s="1339"/>
      <c r="H129" s="1339"/>
      <c r="I129" s="1339"/>
      <c r="J129" s="1339"/>
      <c r="K129" s="1339"/>
      <c r="L129" s="1339"/>
      <c r="M129" s="1339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1339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</row>
    <row r="130" spans="1:74" ht="21.9" customHeight="1">
      <c r="A130" s="1339"/>
      <c r="B130" s="1339"/>
      <c r="C130" s="1339"/>
      <c r="D130" s="1339"/>
      <c r="E130" s="1339"/>
      <c r="F130" s="1339"/>
      <c r="G130" s="1339"/>
      <c r="H130" s="1339"/>
      <c r="I130" s="1339"/>
      <c r="J130" s="1339"/>
      <c r="K130" s="1339"/>
      <c r="L130" s="1339"/>
      <c r="M130" s="1339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1339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</row>
    <row r="131" spans="1:74" ht="21.9" customHeight="1">
      <c r="A131" s="1339"/>
      <c r="B131" s="1339"/>
      <c r="C131" s="1339"/>
      <c r="D131" s="1339"/>
      <c r="E131" s="1339"/>
      <c r="F131" s="1339"/>
      <c r="G131" s="1339"/>
      <c r="H131" s="1339"/>
      <c r="I131" s="1339"/>
      <c r="J131" s="1339"/>
      <c r="K131" s="1339"/>
      <c r="L131" s="1339"/>
      <c r="M131" s="1339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1339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</row>
    <row r="132" spans="1:74" ht="21.9" customHeight="1">
      <c r="A132" s="1339"/>
      <c r="B132" s="1339"/>
      <c r="C132" s="1339"/>
      <c r="D132" s="1339"/>
      <c r="E132" s="1339"/>
      <c r="F132" s="1339"/>
      <c r="G132" s="1339"/>
      <c r="H132" s="1339"/>
      <c r="I132" s="1339"/>
      <c r="J132" s="1339"/>
      <c r="K132" s="1339"/>
      <c r="L132" s="1339"/>
      <c r="M132" s="1339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1339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</row>
    <row r="133" spans="1:74" ht="21.9" customHeight="1">
      <c r="A133" s="1339"/>
      <c r="B133" s="1339"/>
      <c r="C133" s="1339"/>
      <c r="D133" s="1339"/>
      <c r="E133" s="1339"/>
      <c r="F133" s="1339"/>
      <c r="G133" s="1339"/>
      <c r="H133" s="1339"/>
      <c r="I133" s="1339"/>
      <c r="J133" s="1339"/>
      <c r="K133" s="1339"/>
      <c r="L133" s="1339"/>
      <c r="M133" s="1339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1339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</row>
    <row r="134" spans="1:74" ht="21.9" customHeight="1">
      <c r="A134" s="1339"/>
      <c r="B134" s="1339"/>
      <c r="C134" s="1339"/>
      <c r="D134" s="1339"/>
      <c r="E134" s="1339"/>
      <c r="F134" s="1339"/>
      <c r="G134" s="1339"/>
      <c r="H134" s="1339"/>
      <c r="I134" s="1339"/>
      <c r="J134" s="1339"/>
      <c r="K134" s="1339"/>
      <c r="L134" s="1339"/>
      <c r="M134" s="1339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1339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</row>
    <row r="135" spans="1:74" ht="21.9" customHeight="1">
      <c r="A135" s="1339"/>
      <c r="B135" s="1339"/>
      <c r="C135" s="1339"/>
      <c r="D135" s="1339"/>
      <c r="E135" s="1339"/>
      <c r="F135" s="1339"/>
      <c r="G135" s="1339"/>
      <c r="H135" s="1339"/>
      <c r="I135" s="1339"/>
      <c r="J135" s="1339"/>
      <c r="K135" s="1339"/>
      <c r="L135" s="1339"/>
      <c r="M135" s="1339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1339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</row>
    <row r="136" spans="1:74" ht="21.9" customHeight="1">
      <c r="A136" s="1339"/>
      <c r="B136" s="1339"/>
      <c r="C136" s="1339"/>
      <c r="D136" s="1339"/>
      <c r="E136" s="1339"/>
      <c r="F136" s="1339"/>
      <c r="G136" s="1339"/>
      <c r="H136" s="1339"/>
      <c r="I136" s="1339"/>
      <c r="J136" s="1339"/>
      <c r="K136" s="1339"/>
      <c r="L136" s="1339"/>
      <c r="M136" s="1339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1339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</row>
    <row r="137" spans="1:74" ht="21.9" customHeight="1">
      <c r="A137" s="1339"/>
      <c r="B137" s="1339"/>
      <c r="C137" s="1339"/>
      <c r="D137" s="1339"/>
      <c r="E137" s="1339"/>
      <c r="F137" s="1339"/>
      <c r="G137" s="1339"/>
      <c r="H137" s="1339"/>
      <c r="I137" s="1339"/>
      <c r="J137" s="1339"/>
      <c r="K137" s="1339"/>
      <c r="L137" s="1339"/>
      <c r="M137" s="1339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1339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</row>
    <row r="138" spans="1:74" ht="21.9" customHeight="1">
      <c r="A138" s="1339"/>
      <c r="B138" s="1339"/>
      <c r="C138" s="1339"/>
      <c r="D138" s="1339"/>
      <c r="E138" s="1339"/>
      <c r="F138" s="1339"/>
      <c r="G138" s="1339"/>
      <c r="H138" s="1339"/>
      <c r="I138" s="1339"/>
      <c r="J138" s="1339"/>
      <c r="K138" s="1339"/>
      <c r="L138" s="1339"/>
      <c r="M138" s="1339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1339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</row>
    <row r="139" spans="1:74" ht="21.9" customHeight="1">
      <c r="A139" s="1339"/>
      <c r="B139" s="1339"/>
      <c r="C139" s="1339"/>
      <c r="D139" s="1339"/>
      <c r="E139" s="1339"/>
      <c r="F139" s="1339"/>
      <c r="G139" s="1339"/>
      <c r="H139" s="1339"/>
      <c r="I139" s="1339"/>
      <c r="J139" s="1339"/>
      <c r="K139" s="1339"/>
      <c r="L139" s="1339"/>
      <c r="M139" s="1339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1339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</row>
    <row r="140" spans="1:74" ht="21.9" customHeight="1">
      <c r="A140" s="1339"/>
      <c r="B140" s="1339"/>
      <c r="C140" s="1339"/>
      <c r="D140" s="1339"/>
      <c r="E140" s="1339"/>
      <c r="F140" s="1339"/>
      <c r="G140" s="1339"/>
      <c r="H140" s="1339"/>
      <c r="I140" s="1339"/>
      <c r="J140" s="1339"/>
      <c r="K140" s="1339"/>
      <c r="L140" s="1339"/>
      <c r="M140" s="1339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1339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</row>
    <row r="141" spans="1:74" ht="21.9" customHeight="1">
      <c r="A141" s="1339"/>
      <c r="B141" s="1339"/>
      <c r="C141" s="1339"/>
      <c r="D141" s="1339"/>
      <c r="E141" s="1339"/>
      <c r="F141" s="1339"/>
      <c r="G141" s="1339"/>
      <c r="H141" s="1339"/>
      <c r="I141" s="1339"/>
      <c r="J141" s="1339"/>
      <c r="K141" s="1339"/>
      <c r="L141" s="1339"/>
      <c r="M141" s="1339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1339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</row>
    <row r="142" spans="1:74" ht="21.9" customHeight="1">
      <c r="A142" s="1339"/>
      <c r="B142" s="1339"/>
      <c r="C142" s="1339"/>
      <c r="D142" s="1339"/>
      <c r="E142" s="1339"/>
      <c r="F142" s="1339"/>
      <c r="G142" s="1339"/>
      <c r="H142" s="1339"/>
      <c r="I142" s="1339"/>
      <c r="J142" s="1339"/>
      <c r="K142" s="1339"/>
      <c r="L142" s="1339"/>
      <c r="M142" s="1339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1339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</row>
    <row r="143" spans="1:74" ht="21.9" customHeight="1">
      <c r="A143" s="1339"/>
      <c r="B143" s="1339"/>
      <c r="C143" s="1339"/>
      <c r="D143" s="1339"/>
      <c r="E143" s="1339"/>
      <c r="F143" s="1339"/>
      <c r="G143" s="1339"/>
      <c r="H143" s="1339"/>
      <c r="I143" s="1339"/>
      <c r="J143" s="1339"/>
      <c r="K143" s="1339"/>
      <c r="L143" s="1339"/>
      <c r="M143" s="1339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1339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</row>
    <row r="144" spans="1:74" ht="21.9" customHeight="1">
      <c r="A144" s="1339"/>
      <c r="B144" s="1339"/>
      <c r="C144" s="1339"/>
      <c r="D144" s="1339"/>
      <c r="E144" s="1339"/>
      <c r="F144" s="1339"/>
      <c r="G144" s="1339"/>
      <c r="H144" s="1339"/>
      <c r="I144" s="1339"/>
      <c r="J144" s="1339"/>
      <c r="K144" s="1339"/>
      <c r="L144" s="1339"/>
      <c r="M144" s="1339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1339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</row>
    <row r="145" spans="1:74" ht="21.9" customHeight="1">
      <c r="A145" s="1339"/>
      <c r="B145" s="1339"/>
      <c r="C145" s="1339"/>
      <c r="D145" s="1339"/>
      <c r="E145" s="1339"/>
      <c r="F145" s="1339"/>
      <c r="G145" s="1339"/>
      <c r="H145" s="1339"/>
      <c r="I145" s="1339"/>
      <c r="J145" s="1339"/>
      <c r="K145" s="1339"/>
      <c r="L145" s="1339"/>
      <c r="M145" s="1339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1339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</row>
    <row r="146" spans="1:74" ht="21.9" customHeight="1">
      <c r="A146" s="1339"/>
      <c r="B146" s="1339"/>
      <c r="C146" s="1339"/>
      <c r="D146" s="1339"/>
      <c r="E146" s="1339"/>
      <c r="F146" s="1339"/>
      <c r="G146" s="1339"/>
      <c r="H146" s="1339"/>
      <c r="I146" s="1339"/>
      <c r="J146" s="1339"/>
      <c r="K146" s="1339"/>
      <c r="L146" s="1339"/>
      <c r="M146" s="1339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1339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</row>
    <row r="147" spans="1:74" ht="21.9" customHeight="1">
      <c r="A147" s="1339"/>
      <c r="B147" s="1339"/>
      <c r="C147" s="1339"/>
      <c r="D147" s="1339"/>
      <c r="E147" s="1339"/>
      <c r="F147" s="1339"/>
      <c r="G147" s="1339"/>
      <c r="H147" s="1339"/>
      <c r="I147" s="1339"/>
      <c r="J147" s="1339"/>
      <c r="K147" s="1339"/>
      <c r="L147" s="1339"/>
      <c r="M147" s="1339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1339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</row>
    <row r="148" spans="1:74" ht="21.9" customHeight="1">
      <c r="A148" s="1339"/>
      <c r="B148" s="1339"/>
      <c r="C148" s="1339"/>
      <c r="D148" s="1339"/>
      <c r="E148" s="1339"/>
      <c r="F148" s="1339"/>
      <c r="G148" s="1339"/>
      <c r="H148" s="1339"/>
      <c r="I148" s="1339"/>
      <c r="J148" s="1339"/>
      <c r="K148" s="1339"/>
      <c r="L148" s="1339"/>
      <c r="M148" s="1339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1339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</row>
    <row r="149" spans="1:74" ht="21.9" customHeight="1">
      <c r="A149" s="1339"/>
      <c r="B149" s="1339"/>
      <c r="C149" s="1339"/>
      <c r="D149" s="1339"/>
      <c r="E149" s="1339"/>
      <c r="F149" s="1339"/>
      <c r="G149" s="1339"/>
      <c r="H149" s="1339"/>
      <c r="I149" s="1339"/>
      <c r="J149" s="1339"/>
      <c r="K149" s="1339"/>
      <c r="L149" s="1339"/>
      <c r="M149" s="1339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1339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</row>
    <row r="150" spans="1:74" ht="21.9" customHeight="1">
      <c r="A150" s="1339"/>
      <c r="B150" s="1339"/>
      <c r="C150" s="1339"/>
      <c r="D150" s="1339"/>
      <c r="E150" s="1339"/>
      <c r="F150" s="1339"/>
      <c r="G150" s="1339"/>
      <c r="H150" s="1339"/>
      <c r="I150" s="1339"/>
      <c r="J150" s="1339"/>
      <c r="K150" s="1339"/>
      <c r="L150" s="1339"/>
      <c r="M150" s="1339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1339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</row>
    <row r="151" spans="1:74" ht="21.9" customHeight="1">
      <c r="A151" s="1339"/>
      <c r="B151" s="1339"/>
      <c r="C151" s="1339"/>
      <c r="D151" s="1339"/>
      <c r="E151" s="1339"/>
      <c r="F151" s="1339"/>
      <c r="G151" s="1339"/>
      <c r="H151" s="1339"/>
      <c r="I151" s="1339"/>
      <c r="J151" s="1339"/>
      <c r="K151" s="1339"/>
      <c r="L151" s="1339"/>
      <c r="M151" s="1339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1339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</row>
    <row r="152" spans="1:74" ht="21.9" customHeight="1">
      <c r="A152" s="1339"/>
      <c r="B152" s="1339"/>
      <c r="C152" s="1339"/>
      <c r="D152" s="1339"/>
      <c r="E152" s="1339"/>
      <c r="F152" s="1339"/>
      <c r="G152" s="1339"/>
      <c r="H152" s="1339"/>
      <c r="I152" s="1339"/>
      <c r="J152" s="1339"/>
      <c r="K152" s="1339"/>
      <c r="L152" s="1339"/>
      <c r="M152" s="1339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1339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</row>
    <row r="153" spans="1:74" ht="21.9" customHeight="1">
      <c r="A153" s="1339"/>
      <c r="B153" s="1339"/>
      <c r="C153" s="1339"/>
      <c r="D153" s="1339"/>
      <c r="E153" s="1339"/>
      <c r="F153" s="1339"/>
      <c r="G153" s="1339"/>
      <c r="H153" s="1339"/>
      <c r="I153" s="1339"/>
      <c r="J153" s="1339"/>
      <c r="K153" s="1339"/>
      <c r="L153" s="1339"/>
      <c r="M153" s="1339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1339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</row>
    <row r="154" spans="1:74" ht="21.9" customHeight="1">
      <c r="A154" s="1339"/>
      <c r="B154" s="1339"/>
      <c r="C154" s="1339"/>
      <c r="D154" s="1339"/>
      <c r="E154" s="1339"/>
      <c r="F154" s="1339"/>
      <c r="G154" s="1339"/>
      <c r="H154" s="1339"/>
      <c r="I154" s="1339"/>
      <c r="J154" s="1339"/>
      <c r="K154" s="1339"/>
      <c r="L154" s="1339"/>
      <c r="M154" s="1339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1339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</row>
    <row r="155" spans="1:74" ht="21.9" customHeight="1">
      <c r="A155" s="1339"/>
      <c r="B155" s="1339"/>
      <c r="C155" s="1339"/>
      <c r="D155" s="1339"/>
      <c r="E155" s="1339"/>
      <c r="F155" s="1339"/>
      <c r="G155" s="1339"/>
      <c r="H155" s="1339"/>
      <c r="I155" s="1339"/>
      <c r="J155" s="1339"/>
      <c r="K155" s="1339"/>
      <c r="L155" s="1339"/>
      <c r="M155" s="1339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1339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</row>
    <row r="156" spans="1:74" ht="21.9" customHeight="1">
      <c r="A156" s="1339"/>
      <c r="B156" s="1339"/>
      <c r="C156" s="1339"/>
      <c r="D156" s="1339"/>
      <c r="E156" s="1339"/>
      <c r="F156" s="1339"/>
      <c r="G156" s="1339"/>
      <c r="H156" s="1339"/>
      <c r="I156" s="1339"/>
      <c r="J156" s="1339"/>
      <c r="K156" s="1339"/>
      <c r="L156" s="1339"/>
      <c r="M156" s="1339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1339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</row>
    <row r="157" spans="1:74" ht="21.9" customHeight="1">
      <c r="A157" s="1339"/>
      <c r="B157" s="1339"/>
      <c r="C157" s="1339"/>
      <c r="D157" s="1339"/>
      <c r="E157" s="1339"/>
      <c r="F157" s="1339"/>
      <c r="G157" s="1339"/>
      <c r="H157" s="1339"/>
      <c r="I157" s="1339"/>
      <c r="J157" s="1339"/>
      <c r="K157" s="1339"/>
      <c r="L157" s="1339"/>
      <c r="M157" s="1339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1339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</row>
    <row r="158" spans="1:74" ht="21.9" customHeight="1">
      <c r="A158" s="1339"/>
      <c r="B158" s="1339"/>
      <c r="C158" s="1339"/>
      <c r="D158" s="1339"/>
      <c r="E158" s="1339"/>
      <c r="F158" s="1339"/>
      <c r="G158" s="1339"/>
      <c r="H158" s="1339"/>
      <c r="I158" s="1339"/>
      <c r="J158" s="1339"/>
      <c r="K158" s="1339"/>
      <c r="L158" s="1339"/>
      <c r="M158" s="1339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1339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</row>
    <row r="159" spans="1:74" ht="21.9" customHeight="1">
      <c r="A159" s="1339"/>
      <c r="B159" s="1339"/>
      <c r="C159" s="1339"/>
      <c r="D159" s="1339"/>
      <c r="E159" s="1339"/>
      <c r="F159" s="1339"/>
      <c r="G159" s="1339"/>
      <c r="H159" s="1339"/>
      <c r="I159" s="1339"/>
      <c r="J159" s="1339"/>
      <c r="K159" s="1339"/>
      <c r="L159" s="1339"/>
      <c r="M159" s="1339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1339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</row>
    <row r="160" spans="1:74" ht="21.9" customHeight="1">
      <c r="A160" s="1339"/>
      <c r="B160" s="1339"/>
      <c r="C160" s="1339"/>
      <c r="D160" s="1339"/>
      <c r="E160" s="1339"/>
      <c r="F160" s="1339"/>
      <c r="G160" s="1339"/>
      <c r="H160" s="1339"/>
      <c r="I160" s="1339"/>
      <c r="J160" s="1339"/>
      <c r="K160" s="1339"/>
      <c r="L160" s="1339"/>
      <c r="M160" s="1339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1339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</row>
    <row r="161" spans="1:74" ht="21.9" customHeight="1">
      <c r="A161" s="1339"/>
      <c r="B161" s="1339"/>
      <c r="C161" s="1339"/>
      <c r="D161" s="1339"/>
      <c r="E161" s="1339"/>
      <c r="F161" s="1339"/>
      <c r="G161" s="1339"/>
      <c r="H161" s="1339"/>
      <c r="I161" s="1339"/>
      <c r="J161" s="1339"/>
      <c r="K161" s="1339"/>
      <c r="L161" s="1339"/>
      <c r="M161" s="1339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1339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</row>
    <row r="162" spans="1:74" ht="21.9" customHeight="1">
      <c r="A162" s="1339"/>
      <c r="B162" s="1339"/>
      <c r="C162" s="1339"/>
      <c r="D162" s="1339"/>
      <c r="E162" s="1339"/>
      <c r="F162" s="1339"/>
      <c r="G162" s="1339"/>
      <c r="H162" s="1339"/>
      <c r="I162" s="1339"/>
      <c r="J162" s="1339"/>
      <c r="K162" s="1339"/>
      <c r="L162" s="1339"/>
      <c r="M162" s="1339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1339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</row>
    <row r="163" spans="1:74" ht="21.9" customHeight="1">
      <c r="A163" s="1339"/>
      <c r="B163" s="1339"/>
      <c r="C163" s="1339"/>
      <c r="D163" s="1339"/>
      <c r="E163" s="1339"/>
      <c r="F163" s="1339"/>
      <c r="G163" s="1339"/>
      <c r="H163" s="1339"/>
      <c r="I163" s="1339"/>
      <c r="J163" s="1339"/>
      <c r="K163" s="1339"/>
      <c r="L163" s="1339"/>
      <c r="M163" s="1339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1339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</row>
    <row r="164" spans="1:74" ht="21.9" customHeight="1">
      <c r="A164" s="1339"/>
      <c r="B164" s="1339"/>
      <c r="C164" s="1339"/>
      <c r="D164" s="1339"/>
      <c r="E164" s="1339"/>
      <c r="F164" s="1339"/>
      <c r="G164" s="1339"/>
      <c r="H164" s="1339"/>
      <c r="I164" s="1339"/>
      <c r="J164" s="1339"/>
      <c r="K164" s="1339"/>
      <c r="L164" s="1339"/>
      <c r="M164" s="1339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1339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</row>
    <row r="165" spans="1:74" ht="21.9" customHeight="1">
      <c r="A165" s="1339"/>
      <c r="B165" s="1339"/>
      <c r="C165" s="1339"/>
      <c r="D165" s="1339"/>
      <c r="E165" s="1339"/>
      <c r="F165" s="1339"/>
      <c r="G165" s="1339"/>
      <c r="H165" s="1339"/>
      <c r="I165" s="1339"/>
      <c r="J165" s="1339"/>
      <c r="K165" s="1339"/>
      <c r="L165" s="1339"/>
      <c r="M165" s="1339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1339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</row>
    <row r="166" spans="1:74" ht="21.9" customHeight="1">
      <c r="A166" s="1339"/>
      <c r="B166" s="1339"/>
      <c r="C166" s="1339"/>
      <c r="D166" s="1339"/>
      <c r="E166" s="1339"/>
      <c r="F166" s="1339"/>
      <c r="G166" s="1339"/>
      <c r="H166" s="1339"/>
      <c r="I166" s="1339"/>
      <c r="J166" s="1339"/>
      <c r="K166" s="1339"/>
      <c r="L166" s="1339"/>
      <c r="M166" s="1339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1339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</row>
    <row r="167" spans="1:74" ht="21.9" customHeight="1">
      <c r="A167" s="1339"/>
      <c r="B167" s="1339"/>
      <c r="C167" s="1339"/>
      <c r="D167" s="1339"/>
      <c r="E167" s="1339"/>
      <c r="F167" s="1339"/>
      <c r="G167" s="1339"/>
      <c r="H167" s="1339"/>
      <c r="I167" s="1339"/>
      <c r="J167" s="1339"/>
      <c r="K167" s="1339"/>
      <c r="L167" s="1339"/>
      <c r="M167" s="1339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1339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</row>
    <row r="168" spans="1:74" ht="21.9" customHeight="1">
      <c r="A168" s="1339"/>
      <c r="B168" s="1339"/>
      <c r="C168" s="1339"/>
      <c r="D168" s="1339"/>
      <c r="E168" s="1339"/>
      <c r="F168" s="1339"/>
      <c r="G168" s="1339"/>
      <c r="H168" s="1339"/>
      <c r="I168" s="1339"/>
      <c r="J168" s="1339"/>
      <c r="K168" s="1339"/>
      <c r="L168" s="1339"/>
      <c r="M168" s="1339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1339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</row>
    <row r="169" spans="1:74" ht="21.9" customHeight="1">
      <c r="A169" s="1339"/>
      <c r="B169" s="1339"/>
      <c r="C169" s="1339"/>
      <c r="D169" s="1339"/>
      <c r="E169" s="1339"/>
      <c r="F169" s="1339"/>
      <c r="G169" s="1339"/>
      <c r="H169" s="1339"/>
      <c r="I169" s="1339"/>
      <c r="J169" s="1339"/>
      <c r="K169" s="1339"/>
      <c r="L169" s="1339"/>
      <c r="M169" s="1339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1339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</row>
    <row r="170" spans="1:74" ht="21.9" customHeight="1">
      <c r="A170" s="1339"/>
      <c r="B170" s="1339"/>
      <c r="C170" s="1339"/>
      <c r="D170" s="1339"/>
      <c r="E170" s="1339"/>
      <c r="F170" s="1339"/>
      <c r="G170" s="1339"/>
      <c r="H170" s="1339"/>
      <c r="I170" s="1339"/>
      <c r="J170" s="1339"/>
      <c r="K170" s="1339"/>
      <c r="L170" s="1339"/>
      <c r="M170" s="1339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1339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</row>
    <row r="171" spans="1:74" ht="21.9" customHeight="1">
      <c r="A171" s="1339"/>
      <c r="B171" s="1339"/>
      <c r="C171" s="1339"/>
      <c r="D171" s="1339"/>
      <c r="E171" s="1339"/>
      <c r="F171" s="1339"/>
      <c r="G171" s="1339"/>
      <c r="H171" s="1339"/>
      <c r="I171" s="1339"/>
      <c r="J171" s="1339"/>
      <c r="K171" s="1339"/>
      <c r="L171" s="1339"/>
      <c r="M171" s="1339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1339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</row>
    <row r="172" spans="1:74" ht="21.9" customHeight="1">
      <c r="A172" s="1339"/>
      <c r="B172" s="1339"/>
      <c r="C172" s="1339"/>
      <c r="D172" s="1339"/>
      <c r="E172" s="1339"/>
      <c r="F172" s="1339"/>
      <c r="G172" s="1339"/>
      <c r="H172" s="1339"/>
      <c r="I172" s="1339"/>
      <c r="J172" s="1339"/>
      <c r="K172" s="1339"/>
      <c r="L172" s="1339"/>
      <c r="M172" s="1339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1339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</row>
    <row r="173" spans="1:74" ht="21.9" customHeight="1">
      <c r="A173" s="1339"/>
      <c r="B173" s="1339"/>
      <c r="C173" s="1339"/>
      <c r="D173" s="1339"/>
      <c r="E173" s="1339"/>
      <c r="F173" s="1339"/>
      <c r="G173" s="1339"/>
      <c r="H173" s="1339"/>
      <c r="I173" s="1339"/>
      <c r="J173" s="1339"/>
      <c r="K173" s="1339"/>
      <c r="L173" s="1339"/>
      <c r="M173" s="1339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1339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</row>
    <row r="174" spans="1:74" ht="21.9" customHeight="1">
      <c r="A174" s="1339"/>
      <c r="B174" s="1339"/>
      <c r="C174" s="1339"/>
      <c r="D174" s="1339"/>
      <c r="E174" s="1339"/>
      <c r="F174" s="1339"/>
      <c r="G174" s="1339"/>
      <c r="H174" s="1339"/>
      <c r="I174" s="1339"/>
      <c r="J174" s="1339"/>
      <c r="K174" s="1339"/>
      <c r="L174" s="1339"/>
      <c r="M174" s="1339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1339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</row>
    <row r="175" spans="1:74" ht="21.9" customHeight="1">
      <c r="A175" s="1339"/>
      <c r="B175" s="1339"/>
      <c r="C175" s="1339"/>
      <c r="D175" s="1339"/>
      <c r="E175" s="1339"/>
      <c r="F175" s="1339"/>
      <c r="G175" s="1339"/>
      <c r="H175" s="1339"/>
      <c r="I175" s="1339"/>
      <c r="J175" s="1339"/>
      <c r="K175" s="1339"/>
      <c r="L175" s="1339"/>
      <c r="M175" s="1339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1339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</row>
  </sheetData>
  <sheetProtection selectLockedCells="1" selectUnlockedCells="1"/>
  <mergeCells count="241">
    <mergeCell ref="BB16:BC17"/>
    <mergeCell ref="BB18:BC19"/>
    <mergeCell ref="BB20:BC21"/>
    <mergeCell ref="BB22:BC23"/>
    <mergeCell ref="BB24:BC25"/>
    <mergeCell ref="BB26:BC27"/>
    <mergeCell ref="BB28:BC29"/>
    <mergeCell ref="BB30:BC31"/>
    <mergeCell ref="AT49:AU49"/>
    <mergeCell ref="AV49:AW49"/>
    <mergeCell ref="AX49:AY49"/>
    <mergeCell ref="AZ49:BA49"/>
    <mergeCell ref="AT45:AU45"/>
    <mergeCell ref="AV45:AW45"/>
    <mergeCell ref="AX45:AY45"/>
    <mergeCell ref="AZ45:BA45"/>
    <mergeCell ref="AT46:AU46"/>
    <mergeCell ref="AV46:AW46"/>
    <mergeCell ref="AX46:AY46"/>
    <mergeCell ref="AZ46:BA46"/>
    <mergeCell ref="AT43:AU43"/>
    <mergeCell ref="AV43:AW43"/>
    <mergeCell ref="AX43:AY43"/>
    <mergeCell ref="AZ43:BA43"/>
    <mergeCell ref="AT50:AU50"/>
    <mergeCell ref="AV50:AW50"/>
    <mergeCell ref="AX50:AY50"/>
    <mergeCell ref="AZ50:BA50"/>
    <mergeCell ref="AT47:AU47"/>
    <mergeCell ref="AV47:AW47"/>
    <mergeCell ref="AX47:AY47"/>
    <mergeCell ref="AZ47:BA47"/>
    <mergeCell ref="AT48:AU48"/>
    <mergeCell ref="AV48:AW48"/>
    <mergeCell ref="AX48:AY48"/>
    <mergeCell ref="AZ48:BA48"/>
    <mergeCell ref="AV44:AW44"/>
    <mergeCell ref="AX44:AY44"/>
    <mergeCell ref="AZ44:BA44"/>
    <mergeCell ref="AT41:AU41"/>
    <mergeCell ref="AV41:AW41"/>
    <mergeCell ref="AX41:AY41"/>
    <mergeCell ref="AZ41:BA41"/>
    <mergeCell ref="AT42:AU42"/>
    <mergeCell ref="AV42:AW42"/>
    <mergeCell ref="AX42:AY42"/>
    <mergeCell ref="AZ42:BA42"/>
    <mergeCell ref="AT40:AU40"/>
    <mergeCell ref="AV40:AW40"/>
    <mergeCell ref="AX40:AY40"/>
    <mergeCell ref="AZ40:BA40"/>
    <mergeCell ref="AL49:AM49"/>
    <mergeCell ref="AN49:AO49"/>
    <mergeCell ref="AP49:AQ49"/>
    <mergeCell ref="AR49:AS49"/>
    <mergeCell ref="AL45:AM45"/>
    <mergeCell ref="AN45:AO45"/>
    <mergeCell ref="AP45:AQ45"/>
    <mergeCell ref="AR45:AS45"/>
    <mergeCell ref="AL46:AM46"/>
    <mergeCell ref="AN46:AO46"/>
    <mergeCell ref="AP46:AQ46"/>
    <mergeCell ref="AR46:AS46"/>
    <mergeCell ref="AL43:AM43"/>
    <mergeCell ref="AN43:AO43"/>
    <mergeCell ref="AP43:AQ43"/>
    <mergeCell ref="AR43:AS43"/>
    <mergeCell ref="AL44:AM44"/>
    <mergeCell ref="AN44:AO44"/>
    <mergeCell ref="AP44:AQ44"/>
    <mergeCell ref="AT44:AU44"/>
    <mergeCell ref="AL50:AM50"/>
    <mergeCell ref="AN50:AO50"/>
    <mergeCell ref="AP50:AQ50"/>
    <mergeCell ref="AR50:AS50"/>
    <mergeCell ref="AL47:AM47"/>
    <mergeCell ref="AN47:AO47"/>
    <mergeCell ref="AP47:AQ47"/>
    <mergeCell ref="AR47:AS47"/>
    <mergeCell ref="AL48:AM48"/>
    <mergeCell ref="AN48:AO48"/>
    <mergeCell ref="AP48:AQ48"/>
    <mergeCell ref="AR48:AS48"/>
    <mergeCell ref="AD43:AE43"/>
    <mergeCell ref="AD44:AE44"/>
    <mergeCell ref="AR44:AS44"/>
    <mergeCell ref="AL41:AM41"/>
    <mergeCell ref="AN41:AO41"/>
    <mergeCell ref="AP41:AQ41"/>
    <mergeCell ref="AR41:AS41"/>
    <mergeCell ref="AL42:AM42"/>
    <mergeCell ref="AN42:AO42"/>
    <mergeCell ref="AP42:AQ42"/>
    <mergeCell ref="AR42:AS42"/>
    <mergeCell ref="AL40:AM40"/>
    <mergeCell ref="AN40:AO40"/>
    <mergeCell ref="AP40:AQ40"/>
    <mergeCell ref="AR40:AS40"/>
    <mergeCell ref="AF49:AG49"/>
    <mergeCell ref="AH49:AI49"/>
    <mergeCell ref="AJ49:AK49"/>
    <mergeCell ref="AF45:AG45"/>
    <mergeCell ref="AH45:AI45"/>
    <mergeCell ref="AJ45:AK45"/>
    <mergeCell ref="AF46:AG46"/>
    <mergeCell ref="AH46:AI46"/>
    <mergeCell ref="AJ46:AK46"/>
    <mergeCell ref="AF50:AG50"/>
    <mergeCell ref="AH50:AI50"/>
    <mergeCell ref="AJ50:AK50"/>
    <mergeCell ref="AF47:AG47"/>
    <mergeCell ref="AH47:AI47"/>
    <mergeCell ref="AJ47:AK47"/>
    <mergeCell ref="AF48:AG48"/>
    <mergeCell ref="AH48:AI48"/>
    <mergeCell ref="AJ48:AK48"/>
    <mergeCell ref="AD50:AE50"/>
    <mergeCell ref="AF40:AG40"/>
    <mergeCell ref="AH40:AI40"/>
    <mergeCell ref="AJ40:AK40"/>
    <mergeCell ref="AF41:AG41"/>
    <mergeCell ref="AH41:AI41"/>
    <mergeCell ref="AJ41:AK41"/>
    <mergeCell ref="AF42:AG42"/>
    <mergeCell ref="AH42:AI42"/>
    <mergeCell ref="AJ42:AK42"/>
    <mergeCell ref="AF43:AG43"/>
    <mergeCell ref="AH43:AI43"/>
    <mergeCell ref="AJ43:AK43"/>
    <mergeCell ref="AF44:AG44"/>
    <mergeCell ref="AH44:AI44"/>
    <mergeCell ref="AJ44:AK44"/>
    <mergeCell ref="AD45:AE45"/>
    <mergeCell ref="AD46:AE46"/>
    <mergeCell ref="AD47:AE47"/>
    <mergeCell ref="AD48:AE48"/>
    <mergeCell ref="AD49:AE49"/>
    <mergeCell ref="AD40:AE40"/>
    <mergeCell ref="AD41:AE41"/>
    <mergeCell ref="AD42:AE42"/>
    <mergeCell ref="Z49:AA49"/>
    <mergeCell ref="Z50:AA50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B49:AC49"/>
    <mergeCell ref="AB50:AC50"/>
    <mergeCell ref="Z44:AA44"/>
    <mergeCell ref="Z45:AA45"/>
    <mergeCell ref="Z46:AA46"/>
    <mergeCell ref="Z47:AA47"/>
    <mergeCell ref="Z48:AA48"/>
    <mergeCell ref="Z40:AA40"/>
    <mergeCell ref="Z41:AA41"/>
    <mergeCell ref="Z42:AA42"/>
    <mergeCell ref="Z43:AA43"/>
    <mergeCell ref="V49:W49"/>
    <mergeCell ref="V50:W50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V44:W44"/>
    <mergeCell ref="V45:W45"/>
    <mergeCell ref="V46:W46"/>
    <mergeCell ref="V47:W47"/>
    <mergeCell ref="V48:W48"/>
    <mergeCell ref="V40:W40"/>
    <mergeCell ref="V41:W41"/>
    <mergeCell ref="V42:W42"/>
    <mergeCell ref="V43:W43"/>
    <mergeCell ref="N48:O48"/>
    <mergeCell ref="N49:O49"/>
    <mergeCell ref="N50:O50"/>
    <mergeCell ref="M39:Q39"/>
    <mergeCell ref="R39:U39"/>
    <mergeCell ref="N47:O47"/>
    <mergeCell ref="N40:O40"/>
    <mergeCell ref="N41:O41"/>
    <mergeCell ref="N42:O42"/>
    <mergeCell ref="N43:O43"/>
    <mergeCell ref="N44:O44"/>
    <mergeCell ref="N45:O45"/>
    <mergeCell ref="N46:O46"/>
    <mergeCell ref="A39:D39"/>
    <mergeCell ref="E39:H39"/>
    <mergeCell ref="I39:L39"/>
    <mergeCell ref="A38:BE38"/>
    <mergeCell ref="A22:A23"/>
    <mergeCell ref="A24:A25"/>
    <mergeCell ref="A26:A27"/>
    <mergeCell ref="A28:A29"/>
    <mergeCell ref="A30:A31"/>
    <mergeCell ref="A32:A33"/>
    <mergeCell ref="A34:A35"/>
    <mergeCell ref="A36:A37"/>
    <mergeCell ref="V39:AC39"/>
    <mergeCell ref="BB32:BC33"/>
    <mergeCell ref="BB34:BC35"/>
    <mergeCell ref="BB36:BC37"/>
    <mergeCell ref="BB39:BE39"/>
    <mergeCell ref="AD39:AK39"/>
    <mergeCell ref="AL39:AS39"/>
    <mergeCell ref="AT39:BA39"/>
    <mergeCell ref="O1:U1"/>
    <mergeCell ref="W1:BA1"/>
    <mergeCell ref="A2:A3"/>
    <mergeCell ref="A4:A5"/>
    <mergeCell ref="BD35:BE37"/>
    <mergeCell ref="BD30:BE34"/>
    <mergeCell ref="BD26:BE29"/>
    <mergeCell ref="BD1:BE25"/>
    <mergeCell ref="A20:A21"/>
    <mergeCell ref="A8:A9"/>
    <mergeCell ref="A10:A11"/>
    <mergeCell ref="A12:A13"/>
    <mergeCell ref="A14:A15"/>
    <mergeCell ref="A16:A17"/>
    <mergeCell ref="A18:A19"/>
    <mergeCell ref="A6:A7"/>
    <mergeCell ref="G1:N1"/>
    <mergeCell ref="BB2:BC3"/>
    <mergeCell ref="BB4:BC5"/>
    <mergeCell ref="BB6:BC7"/>
    <mergeCell ref="BB8:BC9"/>
    <mergeCell ref="BB10:BC11"/>
    <mergeCell ref="BB12:BC13"/>
    <mergeCell ref="BB14:BC15"/>
  </mergeCells>
  <conditionalFormatting sqref="G2:M4 O2:U2 B5:M21 O4:U4 O6:U6 O8:U8 O10:U10 O12:U12 O14:U14 A1 O20:U20 B1:F4 O16:U16 V17:BA17 V1:W16 N2:N21 X2:BA16 O18:BA18 O22:U22 O24:U24 O26:U26 O28:U28 O30:U30 O32:U32 O34:U34 R39 O36:U36 B22:N37 A39:A50 B40:H40 E41:E50 J40:L40 I40:I50 M40:M50 P40:U40 R41:R50 V19:BA37 BC40:BE40 X40 Z40 AB40 AF40 AH40 AJ40 AN40 AP40 AR40 AV40 AX40 AZ40 BB39:BB50">
    <cfRule type="cellIs" dxfId="4" priority="72" stopIfTrue="1" operator="equal">
      <formula>0</formula>
    </cfRule>
  </conditionalFormatting>
  <conditionalFormatting sqref="O5:U5 B3 O3:U3 O7:U7 O9:U9 O11:U11 O13:U13 O15:U15 O17:U17 O19:U19 O21:U21 O25:U25 B23 O23:U23 O27:U27 O29:U29 O31:U31 O33:U33 O35:U35 O37:U37 B41:H50 J41:L50 I49:I50 M49:M50 P41:U50 X41:X50 Z41:Z50 AB41:AB50 AF41:AF50 AH41:AH50 AJ41:AJ50 AN41:AN50 AP41:AP50 AR41:AR50 AV41:AV50 AX41:AX50 AZ41:AZ50 BC41:BE50">
    <cfRule type="cellIs" dxfId="3" priority="71" stopIfTrue="1" operator="equal">
      <formula>0</formula>
    </cfRule>
  </conditionalFormatting>
  <printOptions horizontalCentered="1" verticalCentered="1"/>
  <pageMargins left="0.12" right="0.12" top="0" bottom="0" header="0.28000000000000003" footer="0.25"/>
  <pageSetup scale="99" orientation="landscape" horizontalDpi="525" verticalDpi="52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Ø Olap (10 Phase)</vt:lpstr>
      <vt:lpstr> Coord Page</vt:lpstr>
      <vt:lpstr>SG_Coord</vt:lpstr>
      <vt:lpstr>TSP</vt:lpstr>
      <vt:lpstr>Ovlps, Preempts</vt:lpstr>
      <vt:lpstr>Channels 1.8</vt:lpstr>
      <vt:lpstr>Detectors</vt:lpstr>
      <vt:lpstr> Alt Tables</vt:lpstr>
      <vt:lpstr>Annual Schedule </vt:lpstr>
      <vt:lpstr>Misc</vt:lpstr>
      <vt:lpstr>C-1 Pins</vt:lpstr>
      <vt:lpstr>I &amp; J Files</vt:lpstr>
      <vt:lpstr>Updates</vt:lpstr>
      <vt:lpstr>Data</vt:lpstr>
      <vt:lpstr>Sheet1</vt:lpstr>
      <vt:lpstr>' Alt Tables'!Print_Area</vt:lpstr>
      <vt:lpstr>' Coord Page'!Print_Area</vt:lpstr>
      <vt:lpstr>'Annual Schedule '!Print_Area</vt:lpstr>
      <vt:lpstr>'C-1 Pins'!Print_Area</vt:lpstr>
      <vt:lpstr>'Channels 1.8'!Print_Area</vt:lpstr>
      <vt:lpstr>Detectors!Print_Area</vt:lpstr>
      <vt:lpstr>'I &amp; J Files'!Print_Area</vt:lpstr>
      <vt:lpstr>'Ø Olap (10 Phase)'!Print_Area</vt:lpstr>
      <vt:lpstr>'Ovlps, Preempts'!Print_Area</vt:lpstr>
      <vt:lpstr>SG_Coord!Print_Area</vt:lpstr>
      <vt:lpstr>TSP!Print_Area</vt:lpstr>
      <vt:lpstr>Data!test</vt:lpstr>
      <vt:lpstr>Data!test_1</vt:lpstr>
      <vt:lpstr>Data!test_10</vt:lpstr>
      <vt:lpstr>Data!test_11</vt:lpstr>
      <vt:lpstr>Data!test_12</vt:lpstr>
      <vt:lpstr>Data!test_13</vt:lpstr>
      <vt:lpstr>Data!test_14</vt:lpstr>
      <vt:lpstr>Data!test_15</vt:lpstr>
      <vt:lpstr>Data!test_16</vt:lpstr>
      <vt:lpstr>Data!test_17</vt:lpstr>
      <vt:lpstr>Data!test_18</vt:lpstr>
      <vt:lpstr>Data!test_19</vt:lpstr>
      <vt:lpstr>Data!test_2</vt:lpstr>
      <vt:lpstr>Data!test_20</vt:lpstr>
      <vt:lpstr>Data!test_21</vt:lpstr>
      <vt:lpstr>Data!test_22</vt:lpstr>
      <vt:lpstr>Data!test_23</vt:lpstr>
      <vt:lpstr>Data!test_24</vt:lpstr>
      <vt:lpstr>Data!test_25</vt:lpstr>
      <vt:lpstr>Data!test_26</vt:lpstr>
      <vt:lpstr>Data!test_27</vt:lpstr>
      <vt:lpstr>Data!test_28</vt:lpstr>
      <vt:lpstr>Data!test_29</vt:lpstr>
      <vt:lpstr>Data!test_3</vt:lpstr>
      <vt:lpstr>Data!test_30</vt:lpstr>
      <vt:lpstr>Data!test_31</vt:lpstr>
      <vt:lpstr>Data!test_32</vt:lpstr>
      <vt:lpstr>Data!test_33</vt:lpstr>
      <vt:lpstr>Data!test_34</vt:lpstr>
      <vt:lpstr>Data!test_4</vt:lpstr>
      <vt:lpstr>Data!test_5</vt:lpstr>
      <vt:lpstr>Data!test_6</vt:lpstr>
      <vt:lpstr>Data!test_7</vt:lpstr>
      <vt:lpstr>Data!test_8</vt:lpstr>
      <vt:lpstr>Data!test_9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McMullen</dc:creator>
  <cp:lastModifiedBy>Berryhill, Sherrie</cp:lastModifiedBy>
  <cp:lastPrinted>2024-03-13T13:59:24Z</cp:lastPrinted>
  <dcterms:created xsi:type="dcterms:W3CDTF">2008-08-25T23:04:50Z</dcterms:created>
  <dcterms:modified xsi:type="dcterms:W3CDTF">2024-03-13T14:14:46Z</dcterms:modified>
</cp:coreProperties>
</file>